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13332" windowHeight="7680" activeTab="2"/>
  </bookViews>
  <sheets>
    <sheet name="Sheet1" sheetId="1" r:id="rId1"/>
    <sheet name="Sheet2" sheetId="2" r:id="rId2"/>
    <sheet name="Cong khai QT nam" sheetId="3" r:id="rId3"/>
    <sheet name="VPS" sheetId="4" r:id="rId4"/>
    <sheet name="VPS 2023" sheetId="5" r:id="rId5"/>
  </sheets>
  <calcPr calcId="144525"/>
</workbook>
</file>

<file path=xl/calcChain.xml><?xml version="1.0" encoding="utf-8"?>
<calcChain xmlns="http://schemas.openxmlformats.org/spreadsheetml/2006/main">
  <c r="F23" i="3" l="1"/>
  <c r="F11" i="3"/>
  <c r="F45" i="3"/>
  <c r="K48" i="3"/>
  <c r="G34" i="3"/>
  <c r="G40" i="3"/>
  <c r="F10" i="5" l="1"/>
  <c r="F14" i="5"/>
  <c r="C14" i="5" s="1"/>
  <c r="D14" i="5" s="1"/>
  <c r="C12" i="5"/>
  <c r="C13" i="5"/>
  <c r="D13" i="5" s="1"/>
  <c r="C48" i="5"/>
  <c r="D48" i="5" s="1"/>
  <c r="C47" i="5"/>
  <c r="D47" i="5" s="1"/>
  <c r="F46" i="5"/>
  <c r="C46" i="5"/>
  <c r="D46" i="5" s="1"/>
  <c r="C45" i="5"/>
  <c r="D45" i="5" s="1"/>
  <c r="D44" i="5"/>
  <c r="C44" i="5"/>
  <c r="E43" i="5"/>
  <c r="C43" i="5"/>
  <c r="D43" i="5" s="1"/>
  <c r="C42" i="5"/>
  <c r="D42" i="5" s="1"/>
  <c r="C41" i="5"/>
  <c r="D41" i="5" s="1"/>
  <c r="F40" i="5"/>
  <c r="C40" i="5" s="1"/>
  <c r="D40" i="5" s="1"/>
  <c r="E40" i="5"/>
  <c r="E39" i="5"/>
  <c r="C38" i="5"/>
  <c r="D38" i="5" s="1"/>
  <c r="F37" i="5"/>
  <c r="C37" i="5"/>
  <c r="D37" i="5" s="1"/>
  <c r="F36" i="5"/>
  <c r="C36" i="5"/>
  <c r="D36" i="5" s="1"/>
  <c r="F35" i="5"/>
  <c r="C35" i="5" s="1"/>
  <c r="D35" i="5" s="1"/>
  <c r="F34" i="5"/>
  <c r="C34" i="5"/>
  <c r="D34" i="5" s="1"/>
  <c r="F33" i="5"/>
  <c r="C33" i="5" s="1"/>
  <c r="D33" i="5" s="1"/>
  <c r="E32" i="5"/>
  <c r="F31" i="5"/>
  <c r="F29" i="5" s="1"/>
  <c r="F30" i="5"/>
  <c r="C30" i="5"/>
  <c r="D30" i="5" s="1"/>
  <c r="E29" i="5"/>
  <c r="E28" i="5" s="1"/>
  <c r="C27" i="5"/>
  <c r="D27" i="5" s="1"/>
  <c r="C26" i="5"/>
  <c r="D26" i="5" s="1"/>
  <c r="F25" i="5"/>
  <c r="C25" i="5" s="1"/>
  <c r="D25" i="5" s="1"/>
  <c r="E25" i="5"/>
  <c r="C24" i="5"/>
  <c r="D24" i="5" s="1"/>
  <c r="C23" i="5"/>
  <c r="D23" i="5" s="1"/>
  <c r="F22" i="5"/>
  <c r="C22" i="5" s="1"/>
  <c r="D22" i="5" s="1"/>
  <c r="E22" i="5"/>
  <c r="E21" i="5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E14" i="5"/>
  <c r="D12" i="5"/>
  <c r="F11" i="5"/>
  <c r="E10" i="5"/>
  <c r="F39" i="5" l="1"/>
  <c r="C39" i="5" s="1"/>
  <c r="D39" i="5" s="1"/>
  <c r="C10" i="5"/>
  <c r="D10" i="5" s="1"/>
  <c r="C31" i="5"/>
  <c r="D31" i="5" s="1"/>
  <c r="C11" i="5"/>
  <c r="D11" i="5" s="1"/>
  <c r="C29" i="5"/>
  <c r="D29" i="5" s="1"/>
  <c r="F21" i="5"/>
  <c r="C21" i="5" s="1"/>
  <c r="D21" i="5" s="1"/>
  <c r="F32" i="5"/>
  <c r="C32" i="5" s="1"/>
  <c r="D32" i="5" s="1"/>
  <c r="K49" i="3"/>
  <c r="F38" i="3"/>
  <c r="F37" i="3"/>
  <c r="F36" i="3"/>
  <c r="F35" i="3"/>
  <c r="F33" i="3"/>
  <c r="F32" i="3"/>
  <c r="F24" i="3"/>
  <c r="F36" i="4"/>
  <c r="F35" i="4"/>
  <c r="F34" i="4"/>
  <c r="F33" i="4"/>
  <c r="F31" i="4"/>
  <c r="F30" i="4"/>
  <c r="D12" i="4"/>
  <c r="D13" i="4"/>
  <c r="D15" i="4"/>
  <c r="D17" i="4"/>
  <c r="D18" i="4"/>
  <c r="D19" i="4"/>
  <c r="D20" i="4"/>
  <c r="D22" i="4"/>
  <c r="D23" i="4"/>
  <c r="D24" i="4"/>
  <c r="D27" i="4"/>
  <c r="D29" i="4"/>
  <c r="D30" i="4"/>
  <c r="D31" i="4"/>
  <c r="D35" i="4"/>
  <c r="D36" i="4"/>
  <c r="D37" i="4"/>
  <c r="D38" i="4"/>
  <c r="D41" i="4"/>
  <c r="D43" i="4"/>
  <c r="D44" i="4"/>
  <c r="D45" i="4"/>
  <c r="D47" i="4"/>
  <c r="D48" i="4"/>
  <c r="D11" i="4"/>
  <c r="C11" i="4"/>
  <c r="C12" i="4"/>
  <c r="C13" i="4"/>
  <c r="C15" i="4"/>
  <c r="C16" i="4"/>
  <c r="D16" i="4" s="1"/>
  <c r="C17" i="4"/>
  <c r="C18" i="4"/>
  <c r="C19" i="4"/>
  <c r="C20" i="4"/>
  <c r="C22" i="4"/>
  <c r="C23" i="4"/>
  <c r="C24" i="4"/>
  <c r="C27" i="4"/>
  <c r="C29" i="4"/>
  <c r="C30" i="4"/>
  <c r="C31" i="4"/>
  <c r="C33" i="4"/>
  <c r="D33" i="4" s="1"/>
  <c r="C34" i="4"/>
  <c r="D34" i="4" s="1"/>
  <c r="C35" i="4"/>
  <c r="C36" i="4"/>
  <c r="C37" i="4"/>
  <c r="C38" i="4"/>
  <c r="C41" i="4"/>
  <c r="C42" i="4"/>
  <c r="D42" i="4" s="1"/>
  <c r="C43" i="4"/>
  <c r="C44" i="4"/>
  <c r="C45" i="4"/>
  <c r="C47" i="4"/>
  <c r="C48" i="4"/>
  <c r="F28" i="5" l="1"/>
  <c r="C28" i="5" s="1"/>
  <c r="D28" i="5" s="1"/>
  <c r="F40" i="4"/>
  <c r="F37" i="4"/>
  <c r="F29" i="4"/>
  <c r="F14" i="4"/>
  <c r="F11" i="4"/>
  <c r="C50" i="3"/>
  <c r="C48" i="3"/>
  <c r="C47" i="3"/>
  <c r="C45" i="3"/>
  <c r="C44" i="3"/>
  <c r="C37" i="3"/>
  <c r="D37" i="3" s="1"/>
  <c r="C38" i="3"/>
  <c r="D38" i="3" s="1"/>
  <c r="C41" i="3"/>
  <c r="D41" i="3" s="1"/>
  <c r="F39" i="3"/>
  <c r="C39" i="3" s="1"/>
  <c r="D39" i="3" s="1"/>
  <c r="C36" i="3"/>
  <c r="C33" i="3"/>
  <c r="D33" i="3"/>
  <c r="F31" i="3"/>
  <c r="C17" i="3"/>
  <c r="D17" i="3" s="1"/>
  <c r="C18" i="3"/>
  <c r="D18" i="3" s="1"/>
  <c r="C19" i="3"/>
  <c r="D19" i="3" s="1"/>
  <c r="C20" i="3"/>
  <c r="D20" i="3" s="1"/>
  <c r="C21" i="3"/>
  <c r="D21" i="3" s="1"/>
  <c r="C22" i="3"/>
  <c r="D22" i="3" s="1"/>
  <c r="C16" i="3"/>
  <c r="D16" i="3" s="1"/>
  <c r="C14" i="3"/>
  <c r="D14" i="3" s="1"/>
  <c r="C13" i="3"/>
  <c r="D13" i="3" s="1"/>
  <c r="F15" i="3"/>
  <c r="F12" i="3"/>
  <c r="C12" i="3" s="1"/>
  <c r="C40" i="4" l="1"/>
  <c r="D40" i="4" s="1"/>
  <c r="C14" i="4"/>
  <c r="D14" i="4" s="1"/>
  <c r="F10" i="4"/>
  <c r="F32" i="4"/>
  <c r="F46" i="4"/>
  <c r="C46" i="4" s="1"/>
  <c r="D46" i="4" s="1"/>
  <c r="E43" i="4"/>
  <c r="E40" i="4"/>
  <c r="E39" i="4" s="1"/>
  <c r="E32" i="4"/>
  <c r="E28" i="4" s="1"/>
  <c r="E29" i="4"/>
  <c r="E25" i="4"/>
  <c r="F22" i="4"/>
  <c r="E22" i="4"/>
  <c r="E21" i="4" s="1"/>
  <c r="E14" i="4"/>
  <c r="E10" i="4" s="1"/>
  <c r="C26" i="3"/>
  <c r="D26" i="3"/>
  <c r="C29" i="3"/>
  <c r="D29" i="3" s="1"/>
  <c r="C32" i="3"/>
  <c r="D32" i="3" s="1"/>
  <c r="D44" i="3"/>
  <c r="D45" i="3"/>
  <c r="D47" i="3"/>
  <c r="D48" i="3"/>
  <c r="D50" i="3"/>
  <c r="C51" i="3"/>
  <c r="D51" i="3" s="1"/>
  <c r="G42" i="3"/>
  <c r="H42" i="3"/>
  <c r="I42" i="3"/>
  <c r="J42" i="3"/>
  <c r="K46" i="3"/>
  <c r="K42" i="3" s="1"/>
  <c r="J34" i="3"/>
  <c r="J30" i="3" s="1"/>
  <c r="I40" i="3"/>
  <c r="I34" i="3" s="1"/>
  <c r="I30" i="3" s="1"/>
  <c r="H40" i="3"/>
  <c r="G15" i="3"/>
  <c r="G11" i="3" s="1"/>
  <c r="F43" i="3"/>
  <c r="F49" i="3"/>
  <c r="G30" i="3"/>
  <c r="D36" i="3"/>
  <c r="H15" i="3"/>
  <c r="H11" i="3" s="1"/>
  <c r="I15" i="3"/>
  <c r="I11" i="3" s="1"/>
  <c r="J15" i="3"/>
  <c r="J11" i="3" s="1"/>
  <c r="K15" i="3"/>
  <c r="K11" i="3"/>
  <c r="D12" i="3"/>
  <c r="I46" i="3"/>
  <c r="E46" i="3"/>
  <c r="E43" i="3"/>
  <c r="E31" i="3"/>
  <c r="E24" i="3"/>
  <c r="E15" i="3"/>
  <c r="F42" i="3" l="1"/>
  <c r="C42" i="3" s="1"/>
  <c r="D42" i="3" s="1"/>
  <c r="G25" i="3"/>
  <c r="C40" i="3"/>
  <c r="D40" i="3" s="1"/>
  <c r="H34" i="3"/>
  <c r="C46" i="3"/>
  <c r="D46" i="3" s="1"/>
  <c r="C15" i="3"/>
  <c r="D15" i="3" s="1"/>
  <c r="C49" i="3"/>
  <c r="D49" i="3" s="1"/>
  <c r="C43" i="3"/>
  <c r="D43" i="3" s="1"/>
  <c r="C35" i="3"/>
  <c r="F34" i="3"/>
  <c r="C11" i="3"/>
  <c r="D11" i="3" s="1"/>
  <c r="F39" i="4"/>
  <c r="C39" i="4" s="1"/>
  <c r="D39" i="4" s="1"/>
  <c r="C10" i="4"/>
  <c r="D10" i="4" s="1"/>
  <c r="F28" i="4"/>
  <c r="C28" i="4" s="1"/>
  <c r="D28" i="4" s="1"/>
  <c r="C32" i="4"/>
  <c r="D32" i="4" s="1"/>
  <c r="I25" i="3"/>
  <c r="I24" i="3" s="1"/>
  <c r="I23" i="3" s="1"/>
  <c r="G24" i="3"/>
  <c r="D35" i="3"/>
  <c r="C31" i="3"/>
  <c r="D31" i="3" s="1"/>
  <c r="J24" i="3"/>
  <c r="J23" i="3" s="1"/>
  <c r="E42" i="3"/>
  <c r="E11" i="3"/>
  <c r="E34" i="3"/>
  <c r="C34" i="3" l="1"/>
  <c r="D34" i="3" s="1"/>
  <c r="F30" i="3"/>
  <c r="C26" i="4"/>
  <c r="D26" i="4" s="1"/>
  <c r="H30" i="3"/>
  <c r="H25" i="3" s="1"/>
  <c r="E30" i="3"/>
  <c r="G23" i="3"/>
  <c r="C28" i="3" l="1"/>
  <c r="D28" i="3" s="1"/>
  <c r="F27" i="3"/>
  <c r="C30" i="3"/>
  <c r="D30" i="3" s="1"/>
  <c r="C25" i="3"/>
  <c r="E27" i="3"/>
  <c r="C27" i="3" l="1"/>
  <c r="D27" i="3" s="1"/>
  <c r="F25" i="4"/>
  <c r="D25" i="3"/>
  <c r="H24" i="3"/>
  <c r="E23" i="3"/>
  <c r="F21" i="4" l="1"/>
  <c r="C21" i="4" s="1"/>
  <c r="D21" i="4" s="1"/>
  <c r="C25" i="4"/>
  <c r="D25" i="4" s="1"/>
  <c r="H23" i="3"/>
  <c r="C23" i="3" s="1"/>
  <c r="D23" i="3" s="1"/>
  <c r="C24" i="3"/>
  <c r="D24" i="3" s="1"/>
  <c r="G27" i="2"/>
  <c r="E27" i="2"/>
  <c r="G45" i="2"/>
  <c r="G44" i="2" s="1"/>
  <c r="F48" i="2"/>
  <c r="F45" i="2"/>
  <c r="F44" i="2" s="1"/>
  <c r="E49" i="2"/>
  <c r="E48" i="2" s="1"/>
  <c r="E46" i="2"/>
  <c r="E45" i="2" s="1"/>
  <c r="E44" i="2" s="1"/>
  <c r="C49" i="2"/>
  <c r="C48" i="2" s="1"/>
  <c r="D48" i="2" s="1"/>
  <c r="C46" i="2"/>
  <c r="C45" i="2" s="1"/>
  <c r="G25" i="2"/>
  <c r="G24" i="2" s="1"/>
  <c r="G23" i="2" s="1"/>
  <c r="G22" i="2" s="1"/>
  <c r="E25" i="2"/>
  <c r="E24" i="2" s="1"/>
  <c r="E23" i="2" s="1"/>
  <c r="E22" i="2" s="1"/>
  <c r="D14" i="2"/>
  <c r="C17" i="2"/>
  <c r="D17" i="2" s="1"/>
  <c r="D15" i="2"/>
  <c r="D18" i="2"/>
  <c r="D19" i="2"/>
  <c r="D20" i="2"/>
  <c r="D21" i="2"/>
  <c r="D26" i="2"/>
  <c r="D28" i="2"/>
  <c r="D29" i="2"/>
  <c r="D30" i="2"/>
  <c r="D31" i="2"/>
  <c r="D34" i="2"/>
  <c r="D36" i="2"/>
  <c r="D37" i="2"/>
  <c r="D40" i="2"/>
  <c r="D41" i="2"/>
  <c r="D42" i="2"/>
  <c r="D43" i="2"/>
  <c r="D46" i="2"/>
  <c r="D47" i="2"/>
  <c r="D49" i="2"/>
  <c r="D50" i="2"/>
  <c r="C25" i="2"/>
  <c r="D25" i="2" s="1"/>
  <c r="C16" i="2"/>
  <c r="C38" i="2"/>
  <c r="D38" i="2" s="1"/>
  <c r="C35" i="2"/>
  <c r="D35" i="2" s="1"/>
  <c r="C13" i="2"/>
  <c r="D13" i="2" s="1"/>
  <c r="C39" i="2"/>
  <c r="D39" i="2" s="1"/>
  <c r="C34" i="2"/>
  <c r="C27" i="2"/>
  <c r="D27" i="2" s="1"/>
  <c r="D17" i="1"/>
  <c r="D18" i="1"/>
  <c r="D19" i="1"/>
  <c r="D21" i="1"/>
  <c r="D22" i="1"/>
  <c r="D25" i="1"/>
  <c r="D26" i="1"/>
  <c r="D27" i="1"/>
  <c r="D28" i="1"/>
  <c r="D29" i="1"/>
  <c r="D32" i="1"/>
  <c r="D33" i="1"/>
  <c r="D39" i="1"/>
  <c r="D42" i="1"/>
  <c r="C40" i="1"/>
  <c r="D40" i="1" s="1"/>
  <c r="C38" i="1"/>
  <c r="D38" i="1" s="1"/>
  <c r="C25" i="1"/>
  <c r="C24" i="1" s="1"/>
  <c r="C15" i="1"/>
  <c r="C36" i="1" s="1"/>
  <c r="C30" i="1"/>
  <c r="D30" i="1" s="1"/>
  <c r="C31" i="1"/>
  <c r="D31" i="1" s="1"/>
  <c r="C20" i="1"/>
  <c r="D20" i="1" s="1"/>
  <c r="C26" i="1"/>
  <c r="C16" i="1"/>
  <c r="C37" i="1" s="1"/>
  <c r="D37" i="1" s="1"/>
  <c r="D52" i="1"/>
  <c r="D60" i="1"/>
  <c r="D90" i="1"/>
  <c r="D92" i="1"/>
  <c r="D100" i="1"/>
  <c r="D102" i="1"/>
  <c r="D108" i="1"/>
  <c r="D114" i="1"/>
  <c r="D116" i="1"/>
  <c r="D122" i="1"/>
  <c r="D124" i="1"/>
  <c r="D130" i="1"/>
  <c r="D132" i="1"/>
  <c r="D138" i="1"/>
  <c r="D139" i="1"/>
  <c r="D142" i="1"/>
  <c r="D143" i="1"/>
  <c r="D148" i="1"/>
  <c r="C141" i="1"/>
  <c r="C139" i="1"/>
  <c r="C138" i="1"/>
  <c r="C135" i="1"/>
  <c r="D135" i="1" s="1"/>
  <c r="C149" i="1"/>
  <c r="C148" i="1" s="1"/>
  <c r="C132" i="1"/>
  <c r="C131" i="1"/>
  <c r="D131" i="1" s="1"/>
  <c r="C130" i="1"/>
  <c r="C129" i="1"/>
  <c r="D129" i="1" s="1"/>
  <c r="C128" i="1"/>
  <c r="D128" i="1" s="1"/>
  <c r="C127" i="1"/>
  <c r="C114" i="1"/>
  <c r="C113" i="1"/>
  <c r="C112" i="1" s="1"/>
  <c r="D112" i="1" s="1"/>
  <c r="C111" i="1"/>
  <c r="D111" i="1" s="1"/>
  <c r="C109" i="1"/>
  <c r="D109" i="1" s="1"/>
  <c r="C108" i="1"/>
  <c r="C107" i="1"/>
  <c r="D107" i="1" s="1"/>
  <c r="C105" i="1"/>
  <c r="D105" i="1" s="1"/>
  <c r="C104" i="1"/>
  <c r="D104" i="1" s="1"/>
  <c r="C103" i="1"/>
  <c r="D103" i="1" s="1"/>
  <c r="C101" i="1"/>
  <c r="D101" i="1" s="1"/>
  <c r="C100" i="1"/>
  <c r="C99" i="1"/>
  <c r="C98" i="1" s="1"/>
  <c r="D98" i="1" s="1"/>
  <c r="C93" i="1"/>
  <c r="D93" i="1" s="1"/>
  <c r="C92" i="1"/>
  <c r="C90" i="1"/>
  <c r="C89" i="1"/>
  <c r="D89" i="1" s="1"/>
  <c r="C86" i="1"/>
  <c r="D86" i="1" s="1"/>
  <c r="C83" i="1"/>
  <c r="D83" i="1" s="1"/>
  <c r="C81" i="1"/>
  <c r="D81" i="1" s="1"/>
  <c r="C79" i="1"/>
  <c r="D79" i="1" s="1"/>
  <c r="C63" i="1"/>
  <c r="D63" i="1" s="1"/>
  <c r="C56" i="1"/>
  <c r="D56" i="1" s="1"/>
  <c r="C54" i="1"/>
  <c r="D54" i="1" s="1"/>
  <c r="C153" i="1"/>
  <c r="D153" i="1" s="1"/>
  <c r="C152" i="1"/>
  <c r="D152" i="1" s="1"/>
  <c r="C151" i="1"/>
  <c r="C150" i="1" s="1"/>
  <c r="D150" i="1" s="1"/>
  <c r="C147" i="1"/>
  <c r="D147" i="1" s="1"/>
  <c r="C146" i="1"/>
  <c r="D146" i="1" s="1"/>
  <c r="C145" i="1"/>
  <c r="D145" i="1" s="1"/>
  <c r="C144" i="1"/>
  <c r="D144" i="1" s="1"/>
  <c r="C137" i="1"/>
  <c r="D137" i="1" s="1"/>
  <c r="C136" i="1"/>
  <c r="C133" i="1" s="1"/>
  <c r="D133" i="1" s="1"/>
  <c r="C134" i="1"/>
  <c r="D134" i="1" s="1"/>
  <c r="C125" i="1"/>
  <c r="D125" i="1" s="1"/>
  <c r="C124" i="1"/>
  <c r="C123" i="1"/>
  <c r="D123" i="1" s="1"/>
  <c r="C122" i="1"/>
  <c r="C121" i="1"/>
  <c r="D121" i="1" s="1"/>
  <c r="C120" i="1"/>
  <c r="D120" i="1" s="1"/>
  <c r="C119" i="1"/>
  <c r="C118" i="1"/>
  <c r="D118" i="1" s="1"/>
  <c r="C116" i="1"/>
  <c r="C115" i="1"/>
  <c r="D115" i="1" s="1"/>
  <c r="C110" i="1"/>
  <c r="D110" i="1" s="1"/>
  <c r="C97" i="1"/>
  <c r="D97" i="1" s="1"/>
  <c r="C96" i="1"/>
  <c r="D96" i="1" s="1"/>
  <c r="C95" i="1"/>
  <c r="D95" i="1" s="1"/>
  <c r="C94" i="1"/>
  <c r="D94" i="1" s="1"/>
  <c r="C91" i="1"/>
  <c r="D91" i="1" s="1"/>
  <c r="C88" i="1"/>
  <c r="C87" i="1" s="1"/>
  <c r="D87" i="1" s="1"/>
  <c r="C85" i="1"/>
  <c r="D85" i="1" s="1"/>
  <c r="C84" i="1"/>
  <c r="D84" i="1" s="1"/>
  <c r="C80" i="1"/>
  <c r="D80" i="1" s="1"/>
  <c r="C78" i="1"/>
  <c r="C77" i="1"/>
  <c r="D77" i="1" s="1"/>
  <c r="C75" i="1"/>
  <c r="D75" i="1" s="1"/>
  <c r="C74" i="1"/>
  <c r="D74" i="1" s="1"/>
  <c r="C72" i="1"/>
  <c r="D72" i="1" s="1"/>
  <c r="C71" i="1"/>
  <c r="D71" i="1" s="1"/>
  <c r="C70" i="1"/>
  <c r="C68" i="1" s="1"/>
  <c r="D68" i="1" s="1"/>
  <c r="C69" i="1"/>
  <c r="D69" i="1" s="1"/>
  <c r="C67" i="1"/>
  <c r="D67" i="1" s="1"/>
  <c r="C66" i="1"/>
  <c r="D66" i="1" s="1"/>
  <c r="C64" i="1"/>
  <c r="C62" i="1" s="1"/>
  <c r="D62" i="1" s="1"/>
  <c r="C61" i="1"/>
  <c r="D61" i="1" s="1"/>
  <c r="C60" i="1"/>
  <c r="C59" i="1"/>
  <c r="D59" i="1" s="1"/>
  <c r="C58" i="1"/>
  <c r="D58" i="1" s="1"/>
  <c r="C57" i="1"/>
  <c r="D57" i="1" s="1"/>
  <c r="C55" i="1"/>
  <c r="D55" i="1" s="1"/>
  <c r="C53" i="1"/>
  <c r="D53" i="1" s="1"/>
  <c r="C52" i="1"/>
  <c r="C51" i="1"/>
  <c r="D51" i="1" s="1"/>
  <c r="C49" i="1"/>
  <c r="C48" i="1" s="1"/>
  <c r="D48" i="1" s="1"/>
  <c r="C47" i="1"/>
  <c r="D47" i="1" s="1"/>
  <c r="C46" i="1"/>
  <c r="C45" i="1" s="1"/>
  <c r="D36" i="1" l="1"/>
  <c r="C23" i="1"/>
  <c r="D23" i="1" s="1"/>
  <c r="D24" i="1"/>
  <c r="D45" i="1"/>
  <c r="D99" i="1"/>
  <c r="C41" i="1"/>
  <c r="D41" i="1" s="1"/>
  <c r="D46" i="1"/>
  <c r="C14" i="1"/>
  <c r="C50" i="1"/>
  <c r="D50" i="1" s="1"/>
  <c r="C73" i="1"/>
  <c r="D73" i="1" s="1"/>
  <c r="D113" i="1"/>
  <c r="D49" i="1"/>
  <c r="D16" i="1"/>
  <c r="C117" i="1"/>
  <c r="D117" i="1" s="1"/>
  <c r="C126" i="1"/>
  <c r="D126" i="1" s="1"/>
  <c r="D136" i="1"/>
  <c r="D88" i="1"/>
  <c r="D64" i="1"/>
  <c r="D15" i="1"/>
  <c r="C12" i="2"/>
  <c r="C65" i="1"/>
  <c r="D65" i="1" s="1"/>
  <c r="D151" i="1"/>
  <c r="D127" i="1"/>
  <c r="D119" i="1"/>
  <c r="C76" i="1"/>
  <c r="D76" i="1" s="1"/>
  <c r="C106" i="1"/>
  <c r="D106" i="1" s="1"/>
  <c r="C140" i="1"/>
  <c r="D140" i="1" s="1"/>
  <c r="D78" i="1"/>
  <c r="D70" i="1"/>
  <c r="C82" i="1"/>
  <c r="D82" i="1" s="1"/>
  <c r="D149" i="1"/>
  <c r="D141" i="1"/>
  <c r="C24" i="2"/>
  <c r="D24" i="2" s="1"/>
  <c r="C23" i="2"/>
  <c r="D23" i="2" s="1"/>
  <c r="C33" i="2"/>
  <c r="D33" i="2" s="1"/>
  <c r="C32" i="2"/>
  <c r="D32" i="2" s="1"/>
  <c r="C11" i="2"/>
  <c r="D12" i="2"/>
  <c r="D45" i="2"/>
  <c r="C44" i="2"/>
  <c r="D44" i="2" s="1"/>
  <c r="D16" i="2"/>
  <c r="D44" i="1" l="1"/>
  <c r="C44" i="1"/>
  <c r="C22" i="2"/>
  <c r="D22" i="2" s="1"/>
  <c r="D14" i="1"/>
  <c r="C13" i="1"/>
  <c r="D13" i="1" s="1"/>
  <c r="C35" i="1"/>
  <c r="D11" i="2"/>
  <c r="C10" i="2"/>
  <c r="D10" i="2" s="1"/>
  <c r="C34" i="1" l="1"/>
  <c r="D34" i="1" s="1"/>
  <c r="D35" i="1"/>
</calcChain>
</file>

<file path=xl/sharedStrings.xml><?xml version="1.0" encoding="utf-8"?>
<sst xmlns="http://schemas.openxmlformats.org/spreadsheetml/2006/main" count="526" uniqueCount="211">
  <si>
    <t>SỞ TƯ PHÁP BÌNH ĐỊNH</t>
  </si>
  <si>
    <t>Chương: 414</t>
  </si>
  <si>
    <t>Số TT</t>
  </si>
  <si>
    <t>I</t>
  </si>
  <si>
    <t>a</t>
  </si>
  <si>
    <t>b</t>
  </si>
  <si>
    <t>II</t>
  </si>
  <si>
    <t>Độc lập - Tự do - Hạnh phúc</t>
  </si>
  <si>
    <t>A</t>
  </si>
  <si>
    <t>Dự toán thu</t>
  </si>
  <si>
    <t>Tổng số thu</t>
  </si>
  <si>
    <t>Số thu nộp NSNN</t>
  </si>
  <si>
    <t>Phí, lệ phí</t>
  </si>
  <si>
    <t>Hoạt động sản xuất, cung ứng dịch vụ</t>
  </si>
  <si>
    <t>III</t>
  </si>
  <si>
    <t>Số được để lại chi theo chế độ</t>
  </si>
  <si>
    <t>Hoạt động sự nghiệp khác</t>
  </si>
  <si>
    <t>Phí, lệ phí công chứng</t>
  </si>
  <si>
    <t>Phí, lệ phí bán đấu giá tài sản</t>
  </si>
  <si>
    <t>Phí, lệ phí hộ tịch</t>
  </si>
  <si>
    <t>Lệ phí cấp chứng nhận, cấp thẻ</t>
  </si>
  <si>
    <t>Lệ phí Lý lịch tư pháp</t>
  </si>
  <si>
    <t>c</t>
  </si>
  <si>
    <t>d</t>
  </si>
  <si>
    <t>e</t>
  </si>
  <si>
    <t>B</t>
  </si>
  <si>
    <t>CỘNG HÒA XÃ HỘI CHỦ NGHĨA VIỆT NAM</t>
  </si>
  <si>
    <t>Thu phí, lệ phí</t>
  </si>
  <si>
    <t>CÔNG KHAI QUYẾT TOÁN THU - CHI NGUỒN NGÂN SÁCH NHÀ NƯỚC</t>
  </si>
  <si>
    <t>ĐVT: đồng</t>
  </si>
  <si>
    <t>Chỉ tiêu</t>
  </si>
  <si>
    <t>Số liệu báo cáo quyết toán</t>
  </si>
  <si>
    <t>Số liệu quyết toán được duyệt</t>
  </si>
  <si>
    <t>Quyết toán chi ngân sách nhà nước</t>
  </si>
  <si>
    <t>6000: Tiền lương</t>
  </si>
  <si>
    <t>6001:Lương ngạch, bậc theo quỹ lương được duyệt</t>
  </si>
  <si>
    <t>6003:Lương hợp đồng dài hạn</t>
  </si>
  <si>
    <t>6050: Tiền công trả cho lao động thường xuyên theo hợp đồng</t>
  </si>
  <si>
    <t>6051: Tiền công trả cho lao động thường xuyên theo hợp đồng</t>
  </si>
  <si>
    <t>6100: Phụ cấp lương</t>
  </si>
  <si>
    <t>6101: Phụ cấp chức vụ</t>
  </si>
  <si>
    <t>6102: Phụ cấp khu vực</t>
  </si>
  <si>
    <t>6103: Phụ cấp thu hút</t>
  </si>
  <si>
    <t>6106 : Phụ cấp thêm giờ</t>
  </si>
  <si>
    <t>6107: Phụ cấp độc hại, nguy hiểm</t>
  </si>
  <si>
    <t>6113: Phụ cấp trách nhiệm theo nghề, theo công việc</t>
  </si>
  <si>
    <t>6115: Phụ cấp thâm niên nghề</t>
  </si>
  <si>
    <t>6116: Phụ cấp đặc biệt khác của ngành</t>
  </si>
  <si>
    <t>6117: Phụ cấp thâm niên vượt khung</t>
  </si>
  <si>
    <t>6123: Phụ cấp bí thư</t>
  </si>
  <si>
    <t>6124: Phụ cấp công vụ</t>
  </si>
  <si>
    <t>6200: Tiền thưởng</t>
  </si>
  <si>
    <t>6201: Thưởng thường xuyên theo định mức</t>
  </si>
  <si>
    <t>6202: Thưởng đột xuất theo định mức</t>
  </si>
  <si>
    <t>6250: Phúc lợi tập thể</t>
  </si>
  <si>
    <t>6253: Tiền tàu xe nghỉ phép năm</t>
  </si>
  <si>
    <t>6257: Tiền nước uống</t>
  </si>
  <si>
    <t>6300: Các khoản đóng góp</t>
  </si>
  <si>
    <t>6301: Bảo hiểm xã hội</t>
  </si>
  <si>
    <t>6302: Bảo hiểm y tế</t>
  </si>
  <si>
    <t>6303: Kinh phí công đoàn</t>
  </si>
  <si>
    <t>6304: Bảo hiểm thất nghiệp</t>
  </si>
  <si>
    <t>6400: Các khoản thanh toán khác cho cá nhân</t>
  </si>
  <si>
    <t>6404: Chi chênh lệch thu nhập thực tế so với lương ngạch bậc, chức vụ</t>
  </si>
  <si>
    <t>6449: Chi trợ cấp thôi việc</t>
  </si>
  <si>
    <t>6500: Thanh toán dịch vụ công cộng</t>
  </si>
  <si>
    <t>6501: Thanh toán tiền điện</t>
  </si>
  <si>
    <t>6502: Thanh toán tiền nước</t>
  </si>
  <si>
    <t>6503: Thanh toán tiền nhiên liệu</t>
  </si>
  <si>
    <t>6504: Thanh toán tiền vệ sinh, môi trường</t>
  </si>
  <si>
    <t>6549: Khác</t>
  </si>
  <si>
    <t>6550: Vật tư văn phòng</t>
  </si>
  <si>
    <t>6551: Văn phòng phẩm</t>
  </si>
  <si>
    <t>6552: Mua sắm công cụ, dụng cụ văn phòng</t>
  </si>
  <si>
    <t>6553: Khoán văn phòng phẩm</t>
  </si>
  <si>
    <t>6599: Vật tư văn phòng khác</t>
  </si>
  <si>
    <t>6600: Thông tin, tuyên truyền, liên lạc</t>
  </si>
  <si>
    <t>6601: Cước phí điện thoại trong nước</t>
  </si>
  <si>
    <t>6603:Cước phí bưu chính</t>
  </si>
  <si>
    <t>6606: Tuyên truyền</t>
  </si>
  <si>
    <t>6607: Quảng cáo</t>
  </si>
  <si>
    <t>6612: Báo chí</t>
  </si>
  <si>
    <t>6616: Thuê bao cáp truyền hình</t>
  </si>
  <si>
    <t>6617: Cước phí Internet, thư viện điện tử</t>
  </si>
  <si>
    <t>6618: Khoán điện thoại</t>
  </si>
  <si>
    <t>6649:Khác</t>
  </si>
  <si>
    <t>6650: Hội nghị</t>
  </si>
  <si>
    <t>6651: In, mua tài liệu</t>
  </si>
  <si>
    <t>6652: Bồi dưỡng giảng viên, báo cáo viên</t>
  </si>
  <si>
    <t>6653: Tiền vé máy bay, tàu, xe</t>
  </si>
  <si>
    <t>6654: Tiền thuê phòng ngủ</t>
  </si>
  <si>
    <t>6655: Thuê hội trường, phương tiện vận chuyển</t>
  </si>
  <si>
    <t>6658: Chi bù tiền ăn</t>
  </si>
  <si>
    <t>6699: Chi phí khác</t>
  </si>
  <si>
    <t>6700: Công tác phí</t>
  </si>
  <si>
    <t>6701: Tiền vé máy bay, tàu, xe</t>
  </si>
  <si>
    <t>6702: Phụ cấp công tác phí</t>
  </si>
  <si>
    <t>6703: Tiền thuê phòng ngủ</t>
  </si>
  <si>
    <t>6704: Khoán công tác phí</t>
  </si>
  <si>
    <t>6750: Chi phí thuê mướn</t>
  </si>
  <si>
    <t>6751: Thuê phương tiện vận chuyển</t>
  </si>
  <si>
    <t>6757: Thuê lao động trong nước</t>
  </si>
  <si>
    <t>6758: Thuê đào tạo lại cán bộ</t>
  </si>
  <si>
    <t>6799: Chi phí thuê mướn khác</t>
  </si>
  <si>
    <t>6900: Sửa chữa tài sản phục vụ công tác chuyên môn</t>
  </si>
  <si>
    <t>6901: Mô tô</t>
  </si>
  <si>
    <t>6902: Ô tô con, ô tô tải</t>
  </si>
  <si>
    <t>6906: Điều hoà nhiệt độ</t>
  </si>
  <si>
    <t>6912: Thiết bị tin học</t>
  </si>
  <si>
    <t>6913: Máy photocopy</t>
  </si>
  <si>
    <t>6921: Đường điện, cấp thoát nước</t>
  </si>
  <si>
    <t>6949: Các tài sản và công trình hạ tầng cơ sở khác</t>
  </si>
  <si>
    <t>7000: Chi phí nghiệp vụ chuyên môn của từng ngành</t>
  </si>
  <si>
    <t>7003: Chi mua, in ấn, phô tô tài liệu chỉ dùng cho chuyên môn của ngành</t>
  </si>
  <si>
    <t>7004: Đồng phục, trang phục</t>
  </si>
  <si>
    <t>7006: Sách, tài liệu, chế độ dùng cho công tác chuyên môn của ngành</t>
  </si>
  <si>
    <t>7013: Chi trả nhuận bút theo chế độ</t>
  </si>
  <si>
    <t>7049: Chi phí khác</t>
  </si>
  <si>
    <t>7750: Chi khác</t>
  </si>
  <si>
    <t>7752: Chi kỷ niệm các ngày lễ lớn</t>
  </si>
  <si>
    <t>7756: Chi các khoản phí và lệ phí của các đơn vị dự toán</t>
  </si>
  <si>
    <t>7757: Chi bảo hiểm tài sản và phương tiện của các đơn vị dự toán</t>
  </si>
  <si>
    <t>7758: Chi hỗ trợ khác</t>
  </si>
  <si>
    <t>7761: Chi tiếp khách</t>
  </si>
  <si>
    <t>7799: Chi các khoản khác</t>
  </si>
  <si>
    <t>7950: Chi quỹ đơn vị sự nghiệp</t>
  </si>
  <si>
    <t>7951: Quỹ dự phòng ổn định</t>
  </si>
  <si>
    <t>7952: Quỹ phúc lợi</t>
  </si>
  <si>
    <t>7953: Quỹ khen thưởng</t>
  </si>
  <si>
    <t>7954: Quỹ phát triển sự nghiệp</t>
  </si>
  <si>
    <t>9000: Mua, đầu tư tài sản vô hình</t>
  </si>
  <si>
    <t>9049: Khác</t>
  </si>
  <si>
    <t>9050: Mua sắm tài sản dùng cho công tác chuyên môn</t>
  </si>
  <si>
    <t>9056: Điều hoà nhiệt độ</t>
  </si>
  <si>
    <t>9062: Thiết bị tin học</t>
  </si>
  <si>
    <t>9099: Tài sản khác</t>
  </si>
  <si>
    <t>6917: Bảo trì và hoàn thiện phần mềm máy tính</t>
  </si>
  <si>
    <t>6611: Ấn phẩm truyền thông</t>
  </si>
  <si>
    <t>6749: Khác</t>
  </si>
  <si>
    <t>7015: Chi hỗ trợ xây dựng văn bản QPPL</t>
  </si>
  <si>
    <t xml:space="preserve">7850: Chi cho công tác Đảng ở tổ chức Đảng cơ sở </t>
  </si>
  <si>
    <t>7851: Chi mua báo, tạp chí của Đảng</t>
  </si>
  <si>
    <t>7854: Chi thanh toán các dịch vụ công cộng, vật tư văn phòng, thông tin tuyên truyền liên lạc; …</t>
  </si>
  <si>
    <t>Thu khác</t>
  </si>
  <si>
    <t>Thuế GTGT</t>
  </si>
  <si>
    <t>Thuế khác</t>
  </si>
  <si>
    <t>f</t>
  </si>
  <si>
    <t>g</t>
  </si>
  <si>
    <t xml:space="preserve">   THỦ TRƯỞNG ĐƠN VỊ</t>
  </si>
  <si>
    <t xml:space="preserve">                                                                                                  Ngày       tháng       năm 2017</t>
  </si>
  <si>
    <t>ĐVT: triệu đồng</t>
  </si>
  <si>
    <t>Trong đó</t>
  </si>
  <si>
    <t>Quỹ lương</t>
  </si>
  <si>
    <t>Mua sắm, sửa chữa</t>
  </si>
  <si>
    <t>Trích lập các quỹ</t>
  </si>
  <si>
    <t>Quyết toán thu</t>
  </si>
  <si>
    <t>Thu phí</t>
  </si>
  <si>
    <t>Số thu phí, lệ phí</t>
  </si>
  <si>
    <t>1.1</t>
  </si>
  <si>
    <t>1.2</t>
  </si>
  <si>
    <t>Lệ phí</t>
  </si>
  <si>
    <t>Phí công chứng</t>
  </si>
  <si>
    <t>Phí cung cấp thông tin Lý lịch tư pháp</t>
  </si>
  <si>
    <t>Lệ phí trích lục bản sao hộ tịch</t>
  </si>
  <si>
    <t>Lệ phí cấp thẻ công chứng viên</t>
  </si>
  <si>
    <t>Thu dịch vụ đấu giá tài sản</t>
  </si>
  <si>
    <t>Chi từ nguồn thu phí được để lại</t>
  </si>
  <si>
    <t>Chi sự nghiệp kinh tế</t>
  </si>
  <si>
    <t>Kinh phí nhiệm vụ thường xuyên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</si>
  <si>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</si>
  <si>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</si>
  <si>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</si>
  <si>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</si>
  <si>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C</t>
  </si>
  <si>
    <t>Số phí, lệ phí nộp NSNN</t>
  </si>
  <si>
    <t>Chi từ nguồn thu được để lại</t>
  </si>
  <si>
    <t>Phí</t>
  </si>
  <si>
    <t>2.1</t>
  </si>
  <si>
    <t>2.2</t>
  </si>
  <si>
    <t xml:space="preserve">      Ngày       tháng       năm 2018</t>
  </si>
  <si>
    <t xml:space="preserve">        THỦ TRƯỞNG ĐƠN VỊ</t>
  </si>
  <si>
    <t>QUYẾT TOÁN THU - CHI NGUỒN NSNN, NGUỒN KHÁC NĂM 2019</t>
  </si>
  <si>
    <t>(Kèm theo Quyết định số     /QĐ-STP ngày    tháng    năm 2020 của Sở Tư pháp)</t>
  </si>
  <si>
    <t>Tổng số liệu quyết toán được duyệt</t>
  </si>
  <si>
    <t>Chênh lệch</t>
  </si>
  <si>
    <t>Chia ra</t>
  </si>
  <si>
    <t>Văn phòng sở</t>
  </si>
  <si>
    <t>Phòng Công chứng số 1</t>
  </si>
  <si>
    <t>Trung tâm Dịch vụ đấu giá TS</t>
  </si>
  <si>
    <t>Trung tâm Trợ giúp pháp lý NN tỉnh</t>
  </si>
  <si>
    <t>Phòng Công chứng số 2</t>
  </si>
  <si>
    <t>Phòng Công chứng số 3</t>
  </si>
  <si>
    <t>Tổng số liệu báo cáo quyết toán</t>
  </si>
  <si>
    <t>Chi sự nghiệp giáo dục đào tạo</t>
  </si>
  <si>
    <t>Quyết toán thu, chi, nộp ngân sách phí, lệ phí</t>
  </si>
  <si>
    <t>Chi từ nguồn thu phí được khấu trừ hoặc để lại</t>
  </si>
  <si>
    <t>Lệ phí đăng ký văn phòng luật sư</t>
  </si>
  <si>
    <t>Phí khai thác sử dụng thông tin CSDL Hộ tịch</t>
  </si>
  <si>
    <t>Phí thẩm định điều kiện hoạt động Công chứng</t>
  </si>
  <si>
    <t>Phí thẩm định điều kiện hoạt động Đấu giá</t>
  </si>
  <si>
    <t>Phí xác nhận quốc tịch Việt Nam</t>
  </si>
  <si>
    <t>2.3</t>
  </si>
  <si>
    <t>2.4</t>
  </si>
  <si>
    <t>2.5</t>
  </si>
  <si>
    <t>2.6</t>
  </si>
  <si>
    <t>2.7</t>
  </si>
  <si>
    <t>QUYẾT TOÁN THU - CHI NGÂN SÁCH NHÀ NƯỚC NĂM 2022</t>
  </si>
  <si>
    <t>(Kèm theo Quyết định số        /QĐ-STP ngày      tháng      năm 2023 của Sở Tư pháp)</t>
  </si>
  <si>
    <t>QUYẾT TOÁN THU - CHI NGÂN SÁCH NHÀ NƯỚC NĂM 2023</t>
  </si>
  <si>
    <t>(Kèm theo Quyết định số        /QĐ-STP ngày      tháng      năm 2024 của Sở Tư pháp)</t>
  </si>
  <si>
    <t>(Kèm theo Quyết định số         /QĐ-STP ngày      tháng      năm 2024 của Sở Tư pháp)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</si>
</sst>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_(* #,##0.000_);_(* \(#,##0.000\);_(* &quot;-&quot;?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VNI-Times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2" fillId="0" borderId="1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1" xfId="0" applyNumberFormat="1" applyFont="1" applyBorder="1"/>
    <xf numFmtId="0" fontId="7" fillId="0" borderId="2" xfId="0" applyFont="1" applyBorder="1"/>
    <xf numFmtId="0" fontId="2" fillId="0" borderId="2" xfId="0" applyFont="1" applyBorder="1"/>
    <xf numFmtId="3" fontId="8" fillId="2" borderId="1" xfId="0" applyNumberFormat="1" applyFont="1" applyFill="1" applyBorder="1" applyAlignment="1" applyProtection="1">
      <alignment vertical="center" wrapText="1" shrinkToFit="1"/>
      <protection locked="0"/>
    </xf>
    <xf numFmtId="3" fontId="9" fillId="2" borderId="1" xfId="0" applyNumberFormat="1" applyFont="1" applyFill="1" applyBorder="1" applyAlignment="1" applyProtection="1">
      <alignment vertical="center" wrapText="1" shrinkToFit="1"/>
      <protection locked="0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/>
    <xf numFmtId="43" fontId="2" fillId="0" borderId="0" xfId="1" applyFont="1"/>
    <xf numFmtId="0" fontId="6" fillId="0" borderId="0" xfId="0" applyFont="1"/>
    <xf numFmtId="0" fontId="12" fillId="0" borderId="1" xfId="0" applyFont="1" applyBorder="1"/>
    <xf numFmtId="43" fontId="12" fillId="0" borderId="1" xfId="1" applyFont="1" applyBorder="1"/>
    <xf numFmtId="0" fontId="12" fillId="0" borderId="0" xfId="0" applyFont="1"/>
    <xf numFmtId="3" fontId="13" fillId="2" borderId="1" xfId="0" applyNumberFormat="1" applyFont="1" applyFill="1" applyBorder="1" applyAlignment="1" applyProtection="1">
      <alignment vertical="center" wrapText="1" shrinkToFit="1"/>
      <protection locked="0"/>
    </xf>
    <xf numFmtId="43" fontId="13" fillId="2" borderId="1" xfId="1" applyFont="1" applyFill="1" applyBorder="1" applyAlignment="1" applyProtection="1">
      <alignment horizontal="right" vertical="center" wrapText="1" shrinkToFit="1"/>
      <protection locked="0"/>
    </xf>
    <xf numFmtId="3" fontId="14" fillId="2" borderId="1" xfId="0" applyNumberFormat="1" applyFont="1" applyFill="1" applyBorder="1" applyAlignment="1" applyProtection="1">
      <alignment vertical="center" wrapText="1" shrinkToFit="1"/>
      <protection locked="0"/>
    </xf>
    <xf numFmtId="43" fontId="14" fillId="2" borderId="1" xfId="1" applyFont="1" applyFill="1" applyBorder="1" applyAlignment="1" applyProtection="1">
      <alignment horizontal="right" vertical="center" wrapText="1" shrinkToFit="1"/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1" xfId="0" applyFont="1" applyBorder="1"/>
    <xf numFmtId="164" fontId="12" fillId="0" borderId="1" xfId="1" applyNumberFormat="1" applyFont="1" applyBorder="1"/>
    <xf numFmtId="0" fontId="6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6" fontId="12" fillId="0" borderId="1" xfId="1" applyNumberFormat="1" applyFont="1" applyBorder="1"/>
    <xf numFmtId="43" fontId="12" fillId="0" borderId="1" xfId="1" applyNumberFormat="1" applyFont="1" applyBorder="1"/>
    <xf numFmtId="166" fontId="6" fillId="0" borderId="1" xfId="1" applyNumberFormat="1" applyFont="1" applyBorder="1"/>
    <xf numFmtId="43" fontId="6" fillId="0" borderId="1" xfId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4" fontId="12" fillId="0" borderId="1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3" fontId="12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6" fillId="0" borderId="0" xfId="0" applyFont="1"/>
    <xf numFmtId="43" fontId="17" fillId="0" borderId="0" xfId="0" applyNumberFormat="1" applyFont="1"/>
    <xf numFmtId="167" fontId="17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5" fillId="0" borderId="1" xfId="1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2" fillId="0" borderId="1" xfId="1" applyFont="1" applyBorder="1" applyAlignment="1">
      <alignment vertical="center"/>
    </xf>
    <xf numFmtId="43" fontId="6" fillId="0" borderId="1" xfId="1" applyFont="1" applyFill="1" applyBorder="1"/>
    <xf numFmtId="164" fontId="6" fillId="0" borderId="1" xfId="1" applyNumberFormat="1" applyFont="1" applyFill="1" applyBorder="1"/>
    <xf numFmtId="0" fontId="6" fillId="0" borderId="1" xfId="0" applyFont="1" applyFill="1" applyBorder="1"/>
    <xf numFmtId="43" fontId="12" fillId="0" borderId="1" xfId="1" applyFont="1" applyFill="1" applyBorder="1"/>
    <xf numFmtId="164" fontId="12" fillId="0" borderId="1" xfId="1" applyNumberFormat="1" applyFont="1" applyFill="1" applyBorder="1"/>
    <xf numFmtId="0" fontId="12" fillId="0" borderId="1" xfId="0" applyFont="1" applyFill="1" applyBorder="1"/>
    <xf numFmtId="166" fontId="6" fillId="0" borderId="1" xfId="1" applyNumberFormat="1" applyFont="1" applyFill="1" applyBorder="1"/>
    <xf numFmtId="166" fontId="12" fillId="0" borderId="1" xfId="1" applyNumberFormat="1" applyFont="1" applyFill="1" applyBorder="1"/>
    <xf numFmtId="0" fontId="2" fillId="0" borderId="0" xfId="0" applyFont="1" applyFill="1"/>
    <xf numFmtId="0" fontId="3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2</xdr:row>
      <xdr:rowOff>0</xdr:rowOff>
    </xdr:from>
    <xdr:to>
      <xdr:col>2</xdr:col>
      <xdr:colOff>38100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2228850" y="476250"/>
          <a:ext cx="1876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workbookViewId="0">
      <selection activeCell="A8" sqref="A8:D8"/>
    </sheetView>
  </sheetViews>
  <sheetFormatPr defaultColWidth="9.109375" defaultRowHeight="18" x14ac:dyDescent="0.35"/>
  <cols>
    <col min="1" max="1" width="5.6640625" style="2" customWidth="1"/>
    <col min="2" max="2" width="55.33203125" style="2" customWidth="1"/>
    <col min="3" max="3" width="17.33203125" style="2" customWidth="1"/>
    <col min="4" max="4" width="16.5546875" style="2" customWidth="1"/>
    <col min="5" max="16384" width="9.109375" style="2"/>
  </cols>
  <sheetData>
    <row r="1" spans="1:4" x14ac:dyDescent="0.35">
      <c r="A1" s="58" t="s">
        <v>26</v>
      </c>
      <c r="B1" s="58"/>
      <c r="C1" s="58"/>
      <c r="D1" s="58"/>
    </row>
    <row r="2" spans="1:4" x14ac:dyDescent="0.35">
      <c r="A2" s="58" t="s">
        <v>7</v>
      </c>
      <c r="B2" s="58"/>
      <c r="C2" s="58"/>
      <c r="D2" s="58"/>
    </row>
    <row r="3" spans="1:4" x14ac:dyDescent="0.35">
      <c r="A3" s="3" t="s">
        <v>0</v>
      </c>
    </row>
    <row r="4" spans="1:4" x14ac:dyDescent="0.35">
      <c r="A4" s="3" t="s">
        <v>1</v>
      </c>
    </row>
    <row r="5" spans="1:4" ht="12" customHeight="1" x14ac:dyDescent="0.35"/>
    <row r="6" spans="1:4" x14ac:dyDescent="0.35">
      <c r="A6" s="58"/>
      <c r="B6" s="58"/>
      <c r="C6" s="58"/>
      <c r="D6" s="58"/>
    </row>
    <row r="7" spans="1:4" x14ac:dyDescent="0.35">
      <c r="A7" s="58" t="s">
        <v>28</v>
      </c>
      <c r="B7" s="58"/>
      <c r="C7" s="58"/>
      <c r="D7" s="58"/>
    </row>
    <row r="8" spans="1:4" x14ac:dyDescent="0.35">
      <c r="A8" s="58"/>
      <c r="B8" s="58"/>
      <c r="C8" s="58"/>
      <c r="D8" s="58"/>
    </row>
    <row r="9" spans="1:4" x14ac:dyDescent="0.35">
      <c r="D9" s="1" t="s">
        <v>29</v>
      </c>
    </row>
    <row r="10" spans="1:4" s="4" customFormat="1" ht="42" customHeight="1" x14ac:dyDescent="0.3">
      <c r="A10" s="59" t="s">
        <v>2</v>
      </c>
      <c r="B10" s="59" t="s">
        <v>30</v>
      </c>
      <c r="C10" s="59" t="s">
        <v>31</v>
      </c>
      <c r="D10" s="59" t="s">
        <v>32</v>
      </c>
    </row>
    <row r="11" spans="1:4" s="4" customFormat="1" ht="13.8" x14ac:dyDescent="0.3">
      <c r="A11" s="59"/>
      <c r="B11" s="59"/>
      <c r="C11" s="59"/>
      <c r="D11" s="59"/>
    </row>
    <row r="12" spans="1:4" s="5" customFormat="1" ht="15.6" x14ac:dyDescent="0.3">
      <c r="A12" s="6" t="s">
        <v>8</v>
      </c>
      <c r="B12" s="6" t="s">
        <v>9</v>
      </c>
      <c r="C12" s="8"/>
      <c r="D12" s="8"/>
    </row>
    <row r="13" spans="1:4" s="5" customFormat="1" ht="15.6" x14ac:dyDescent="0.3">
      <c r="A13" s="6" t="s">
        <v>3</v>
      </c>
      <c r="B13" s="6" t="s">
        <v>10</v>
      </c>
      <c r="C13" s="10">
        <f>C14</f>
        <v>9738313900</v>
      </c>
      <c r="D13" s="10">
        <f>C13</f>
        <v>9738313900</v>
      </c>
    </row>
    <row r="14" spans="1:4" s="5" customFormat="1" ht="15.6" x14ac:dyDescent="0.3">
      <c r="A14" s="6">
        <v>1</v>
      </c>
      <c r="B14" s="6" t="s">
        <v>27</v>
      </c>
      <c r="C14" s="9">
        <f>SUM(C15:C20)</f>
        <v>9738313900</v>
      </c>
      <c r="D14" s="10">
        <f t="shared" ref="D14:D42" si="0">C14</f>
        <v>9738313900</v>
      </c>
    </row>
    <row r="15" spans="1:4" s="1" customFormat="1" ht="15.6" x14ac:dyDescent="0.3">
      <c r="A15" s="7" t="s">
        <v>4</v>
      </c>
      <c r="B15" s="7" t="s">
        <v>17</v>
      </c>
      <c r="C15" s="9">
        <f>5526029000+865627000+1844811000</f>
        <v>8236467000</v>
      </c>
      <c r="D15" s="10">
        <f t="shared" si="0"/>
        <v>8236467000</v>
      </c>
    </row>
    <row r="16" spans="1:4" s="1" customFormat="1" ht="15.6" x14ac:dyDescent="0.3">
      <c r="A16" s="7" t="s">
        <v>5</v>
      </c>
      <c r="B16" s="7" t="s">
        <v>18</v>
      </c>
      <c r="C16" s="9">
        <f>592043900</f>
        <v>592043900</v>
      </c>
      <c r="D16" s="10">
        <f t="shared" si="0"/>
        <v>592043900</v>
      </c>
    </row>
    <row r="17" spans="1:4" s="1" customFormat="1" ht="15.6" x14ac:dyDescent="0.3">
      <c r="A17" s="7" t="s">
        <v>22</v>
      </c>
      <c r="B17" s="7" t="s">
        <v>19</v>
      </c>
      <c r="C17" s="9">
        <v>543000</v>
      </c>
      <c r="D17" s="10">
        <f t="shared" si="0"/>
        <v>543000</v>
      </c>
    </row>
    <row r="18" spans="1:4" s="1" customFormat="1" ht="15.6" x14ac:dyDescent="0.3">
      <c r="A18" s="7" t="s">
        <v>23</v>
      </c>
      <c r="B18" s="7" t="s">
        <v>20</v>
      </c>
      <c r="C18" s="9">
        <v>5400000</v>
      </c>
      <c r="D18" s="10">
        <f t="shared" si="0"/>
        <v>5400000</v>
      </c>
    </row>
    <row r="19" spans="1:4" s="1" customFormat="1" ht="15.6" x14ac:dyDescent="0.3">
      <c r="A19" s="7" t="s">
        <v>24</v>
      </c>
      <c r="B19" s="7" t="s">
        <v>21</v>
      </c>
      <c r="C19" s="9">
        <v>629400000</v>
      </c>
      <c r="D19" s="10">
        <f t="shared" si="0"/>
        <v>629400000</v>
      </c>
    </row>
    <row r="20" spans="1:4" s="1" customFormat="1" ht="15.6" x14ac:dyDescent="0.3">
      <c r="A20" s="7" t="s">
        <v>146</v>
      </c>
      <c r="B20" s="7" t="s">
        <v>143</v>
      </c>
      <c r="C20" s="9">
        <f>156385000+114155000+3920000</f>
        <v>274460000</v>
      </c>
      <c r="D20" s="10">
        <f t="shared" si="0"/>
        <v>274460000</v>
      </c>
    </row>
    <row r="21" spans="1:4" s="1" customFormat="1" ht="15.6" x14ac:dyDescent="0.3">
      <c r="A21" s="6">
        <v>2</v>
      </c>
      <c r="B21" s="6" t="s">
        <v>13</v>
      </c>
      <c r="C21" s="9"/>
      <c r="D21" s="10">
        <f t="shared" si="0"/>
        <v>0</v>
      </c>
    </row>
    <row r="22" spans="1:4" s="1" customFormat="1" ht="15.6" x14ac:dyDescent="0.3">
      <c r="A22" s="6">
        <v>3</v>
      </c>
      <c r="B22" s="6" t="s">
        <v>16</v>
      </c>
      <c r="C22" s="9"/>
      <c r="D22" s="10">
        <f t="shared" si="0"/>
        <v>0</v>
      </c>
    </row>
    <row r="23" spans="1:4" s="5" customFormat="1" ht="15.6" x14ac:dyDescent="0.3">
      <c r="A23" s="6" t="s">
        <v>6</v>
      </c>
      <c r="B23" s="6" t="s">
        <v>11</v>
      </c>
      <c r="C23" s="9">
        <f>C24</f>
        <v>4320942915</v>
      </c>
      <c r="D23" s="10">
        <f t="shared" si="0"/>
        <v>4320942915</v>
      </c>
    </row>
    <row r="24" spans="1:4" s="5" customFormat="1" ht="15.6" x14ac:dyDescent="0.3">
      <c r="A24" s="6">
        <v>1</v>
      </c>
      <c r="B24" s="6" t="s">
        <v>12</v>
      </c>
      <c r="C24" s="9">
        <f>SUM(C25:C31)</f>
        <v>4320942915</v>
      </c>
      <c r="D24" s="10">
        <f t="shared" si="0"/>
        <v>4320942915</v>
      </c>
    </row>
    <row r="25" spans="1:4" s="1" customFormat="1" ht="15.6" x14ac:dyDescent="0.3">
      <c r="A25" s="7" t="s">
        <v>4</v>
      </c>
      <c r="B25" s="7" t="s">
        <v>17</v>
      </c>
      <c r="C25" s="9">
        <f>2763014500+432813500+809315100</f>
        <v>4005143100</v>
      </c>
      <c r="D25" s="10">
        <f t="shared" si="0"/>
        <v>4005143100</v>
      </c>
    </row>
    <row r="26" spans="1:4" s="1" customFormat="1" ht="15.6" x14ac:dyDescent="0.3">
      <c r="A26" s="7" t="s">
        <v>5</v>
      </c>
      <c r="B26" s="7" t="s">
        <v>18</v>
      </c>
      <c r="C26" s="9">
        <f>177613170</f>
        <v>177613170</v>
      </c>
      <c r="D26" s="10">
        <f t="shared" si="0"/>
        <v>177613170</v>
      </c>
    </row>
    <row r="27" spans="1:4" s="1" customFormat="1" ht="15.6" x14ac:dyDescent="0.3">
      <c r="A27" s="7" t="s">
        <v>22</v>
      </c>
      <c r="B27" s="7" t="s">
        <v>19</v>
      </c>
      <c r="C27" s="9">
        <v>325800</v>
      </c>
      <c r="D27" s="10">
        <f t="shared" si="0"/>
        <v>325800</v>
      </c>
    </row>
    <row r="28" spans="1:4" s="1" customFormat="1" ht="15.6" x14ac:dyDescent="0.3">
      <c r="A28" s="7" t="s">
        <v>23</v>
      </c>
      <c r="B28" s="7" t="s">
        <v>20</v>
      </c>
      <c r="C28" s="9">
        <v>5400000</v>
      </c>
      <c r="D28" s="10">
        <f t="shared" si="0"/>
        <v>5400000</v>
      </c>
    </row>
    <row r="29" spans="1:4" s="1" customFormat="1" ht="15.6" x14ac:dyDescent="0.3">
      <c r="A29" s="7" t="s">
        <v>24</v>
      </c>
      <c r="B29" s="7" t="s">
        <v>21</v>
      </c>
      <c r="C29" s="9">
        <v>125880000</v>
      </c>
      <c r="D29" s="10">
        <f t="shared" si="0"/>
        <v>125880000</v>
      </c>
    </row>
    <row r="30" spans="1:4" s="1" customFormat="1" ht="15.6" x14ac:dyDescent="0.3">
      <c r="A30" s="7" t="s">
        <v>146</v>
      </c>
      <c r="B30" s="7" t="s">
        <v>144</v>
      </c>
      <c r="C30" s="9">
        <f>4384845+196000</f>
        <v>4580845</v>
      </c>
      <c r="D30" s="10">
        <f t="shared" si="0"/>
        <v>4580845</v>
      </c>
    </row>
    <row r="31" spans="1:4" s="1" customFormat="1" ht="15.6" x14ac:dyDescent="0.3">
      <c r="A31" s="7" t="s">
        <v>147</v>
      </c>
      <c r="B31" s="7" t="s">
        <v>145</v>
      </c>
      <c r="C31" s="9">
        <f>1000000+1000000</f>
        <v>2000000</v>
      </c>
      <c r="D31" s="10">
        <f t="shared" si="0"/>
        <v>2000000</v>
      </c>
    </row>
    <row r="32" spans="1:4" s="5" customFormat="1" ht="15.6" x14ac:dyDescent="0.3">
      <c r="A32" s="6">
        <v>2</v>
      </c>
      <c r="B32" s="6" t="s">
        <v>13</v>
      </c>
      <c r="C32" s="9"/>
      <c r="D32" s="10">
        <f t="shared" si="0"/>
        <v>0</v>
      </c>
    </row>
    <row r="33" spans="1:4" s="5" customFormat="1" ht="15.6" x14ac:dyDescent="0.3">
      <c r="A33" s="6">
        <v>3</v>
      </c>
      <c r="B33" s="6" t="s">
        <v>16</v>
      </c>
      <c r="C33" s="9"/>
      <c r="D33" s="10">
        <f t="shared" si="0"/>
        <v>0</v>
      </c>
    </row>
    <row r="34" spans="1:4" s="5" customFormat="1" ht="15.6" x14ac:dyDescent="0.3">
      <c r="A34" s="6" t="s">
        <v>14</v>
      </c>
      <c r="B34" s="6" t="s">
        <v>15</v>
      </c>
      <c r="C34" s="9">
        <f>C35</f>
        <v>5417370985</v>
      </c>
      <c r="D34" s="10">
        <f t="shared" si="0"/>
        <v>5417370985</v>
      </c>
    </row>
    <row r="35" spans="1:4" s="1" customFormat="1" ht="15.6" x14ac:dyDescent="0.3">
      <c r="A35" s="6">
        <v>1</v>
      </c>
      <c r="B35" s="6" t="s">
        <v>12</v>
      </c>
      <c r="C35" s="9">
        <f>SUM(C36:C41)</f>
        <v>5417370985</v>
      </c>
      <c r="D35" s="10">
        <f t="shared" si="0"/>
        <v>5417370985</v>
      </c>
    </row>
    <row r="36" spans="1:4" s="1" customFormat="1" ht="15.6" x14ac:dyDescent="0.3">
      <c r="A36" s="7" t="s">
        <v>4</v>
      </c>
      <c r="B36" s="7" t="s">
        <v>17</v>
      </c>
      <c r="C36" s="9">
        <f>C15-C25</f>
        <v>4231323900</v>
      </c>
      <c r="D36" s="10">
        <f t="shared" si="0"/>
        <v>4231323900</v>
      </c>
    </row>
    <row r="37" spans="1:4" s="5" customFormat="1" ht="15.6" x14ac:dyDescent="0.3">
      <c r="A37" s="7" t="s">
        <v>5</v>
      </c>
      <c r="B37" s="7" t="s">
        <v>18</v>
      </c>
      <c r="C37" s="9">
        <f>C16-C26</f>
        <v>414430730</v>
      </c>
      <c r="D37" s="10">
        <f t="shared" si="0"/>
        <v>414430730</v>
      </c>
    </row>
    <row r="38" spans="1:4" s="5" customFormat="1" ht="15.6" x14ac:dyDescent="0.3">
      <c r="A38" s="7" t="s">
        <v>22</v>
      </c>
      <c r="B38" s="7" t="s">
        <v>19</v>
      </c>
      <c r="C38" s="9">
        <f>C17-C27</f>
        <v>217200</v>
      </c>
      <c r="D38" s="10">
        <f t="shared" si="0"/>
        <v>217200</v>
      </c>
    </row>
    <row r="39" spans="1:4" s="5" customFormat="1" ht="15.6" x14ac:dyDescent="0.3">
      <c r="A39" s="7" t="s">
        <v>23</v>
      </c>
      <c r="B39" s="7" t="s">
        <v>20</v>
      </c>
      <c r="C39" s="9">
        <v>0</v>
      </c>
      <c r="D39" s="10">
        <f t="shared" si="0"/>
        <v>0</v>
      </c>
    </row>
    <row r="40" spans="1:4" s="5" customFormat="1" ht="15.6" x14ac:dyDescent="0.3">
      <c r="A40" s="7" t="s">
        <v>24</v>
      </c>
      <c r="B40" s="7" t="s">
        <v>21</v>
      </c>
      <c r="C40" s="9">
        <f>C19-C29</f>
        <v>503520000</v>
      </c>
      <c r="D40" s="10">
        <f t="shared" si="0"/>
        <v>503520000</v>
      </c>
    </row>
    <row r="41" spans="1:4" s="5" customFormat="1" ht="15.6" x14ac:dyDescent="0.3">
      <c r="A41" s="7" t="s">
        <v>146</v>
      </c>
      <c r="B41" s="7" t="s">
        <v>143</v>
      </c>
      <c r="C41" s="9">
        <f>C20-C31-C30</f>
        <v>267879155</v>
      </c>
      <c r="D41" s="10">
        <f t="shared" si="0"/>
        <v>267879155</v>
      </c>
    </row>
    <row r="42" spans="1:4" s="1" customFormat="1" ht="15.6" x14ac:dyDescent="0.3">
      <c r="A42" s="6">
        <v>2</v>
      </c>
      <c r="B42" s="6" t="s">
        <v>13</v>
      </c>
      <c r="C42" s="9"/>
      <c r="D42" s="10">
        <f t="shared" si="0"/>
        <v>0</v>
      </c>
    </row>
    <row r="43" spans="1:4" s="1" customFormat="1" ht="15.6" x14ac:dyDescent="0.3">
      <c r="A43" s="6">
        <v>3</v>
      </c>
      <c r="B43" s="6" t="s">
        <v>16</v>
      </c>
      <c r="C43" s="9"/>
      <c r="D43" s="9"/>
    </row>
    <row r="44" spans="1:4" s="5" customFormat="1" ht="15.6" x14ac:dyDescent="0.3">
      <c r="A44" s="6" t="s">
        <v>25</v>
      </c>
      <c r="B44" s="6" t="s">
        <v>33</v>
      </c>
      <c r="C44" s="9">
        <f>C45+C48+C50+C62+C65+C68+C73+C76+C82+C87+C98+C106+C112+C117+C126+C133+C140+C148+C150</f>
        <v>18689253061</v>
      </c>
      <c r="D44" s="9">
        <f>D45+D48+D50+D62+D65+D68+D73+D76+D82+D87+D98+D106+D112+D117+D126+D133+D140+D148+D150</f>
        <v>18689253061</v>
      </c>
    </row>
    <row r="45" spans="1:4" s="5" customFormat="1" ht="15.6" x14ac:dyDescent="0.3">
      <c r="A45" s="11">
        <v>1</v>
      </c>
      <c r="B45" s="13" t="s">
        <v>34</v>
      </c>
      <c r="C45" s="13">
        <f>SUM(C46:C47)</f>
        <v>3761488778</v>
      </c>
      <c r="D45" s="13">
        <f>C45</f>
        <v>3761488778</v>
      </c>
    </row>
    <row r="46" spans="1:4" s="1" customFormat="1" ht="15.6" x14ac:dyDescent="0.3">
      <c r="A46" s="12">
        <v>2</v>
      </c>
      <c r="B46" s="14" t="s">
        <v>35</v>
      </c>
      <c r="C46" s="14">
        <f>3622457419</f>
        <v>3622457419</v>
      </c>
      <c r="D46" s="14">
        <f>C46</f>
        <v>3622457419</v>
      </c>
    </row>
    <row r="47" spans="1:4" s="1" customFormat="1" ht="15.6" x14ac:dyDescent="0.3">
      <c r="A47" s="12">
        <v>3</v>
      </c>
      <c r="B47" s="14" t="s">
        <v>36</v>
      </c>
      <c r="C47" s="14">
        <f>139031359</f>
        <v>139031359</v>
      </c>
      <c r="D47" s="14">
        <f t="shared" ref="D47:D110" si="1">C47</f>
        <v>139031359</v>
      </c>
    </row>
    <row r="48" spans="1:4" s="5" customFormat="1" ht="31.2" x14ac:dyDescent="0.3">
      <c r="A48" s="11">
        <v>4</v>
      </c>
      <c r="B48" s="13" t="s">
        <v>37</v>
      </c>
      <c r="C48" s="13">
        <f>C49</f>
        <v>333557877</v>
      </c>
      <c r="D48" s="13">
        <f t="shared" si="1"/>
        <v>333557877</v>
      </c>
    </row>
    <row r="49" spans="1:4" s="1" customFormat="1" ht="31.2" x14ac:dyDescent="0.3">
      <c r="A49" s="12">
        <v>5</v>
      </c>
      <c r="B49" s="14" t="s">
        <v>38</v>
      </c>
      <c r="C49" s="14">
        <f>333557877</f>
        <v>333557877</v>
      </c>
      <c r="D49" s="14">
        <f t="shared" si="1"/>
        <v>333557877</v>
      </c>
    </row>
    <row r="50" spans="1:4" s="1" customFormat="1" ht="15.6" x14ac:dyDescent="0.3">
      <c r="A50" s="12">
        <v>6</v>
      </c>
      <c r="B50" s="13" t="s">
        <v>39</v>
      </c>
      <c r="C50" s="13">
        <f>SUM(C51:C61)</f>
        <v>1562246335</v>
      </c>
      <c r="D50" s="13">
        <f t="shared" si="1"/>
        <v>1562246335</v>
      </c>
    </row>
    <row r="51" spans="1:4" s="1" customFormat="1" ht="15.6" x14ac:dyDescent="0.3">
      <c r="A51" s="12">
        <v>7</v>
      </c>
      <c r="B51" s="14" t="s">
        <v>40</v>
      </c>
      <c r="C51" s="14">
        <f>197615425</f>
        <v>197615425</v>
      </c>
      <c r="D51" s="14">
        <f t="shared" si="1"/>
        <v>197615425</v>
      </c>
    </row>
    <row r="52" spans="1:4" s="1" customFormat="1" ht="15.6" x14ac:dyDescent="0.3">
      <c r="A52" s="11">
        <v>8</v>
      </c>
      <c r="B52" s="14" t="s">
        <v>41</v>
      </c>
      <c r="C52" s="14">
        <f>2760000</f>
        <v>2760000</v>
      </c>
      <c r="D52" s="14">
        <f t="shared" si="1"/>
        <v>2760000</v>
      </c>
    </row>
    <row r="53" spans="1:4" s="1" customFormat="1" ht="15.6" x14ac:dyDescent="0.3">
      <c r="A53" s="12">
        <v>9</v>
      </c>
      <c r="B53" s="14" t="s">
        <v>42</v>
      </c>
      <c r="C53" s="14">
        <f>161354270</f>
        <v>161354270</v>
      </c>
      <c r="D53" s="14">
        <f t="shared" si="1"/>
        <v>161354270</v>
      </c>
    </row>
    <row r="54" spans="1:4" s="1" customFormat="1" ht="15.6" x14ac:dyDescent="0.3">
      <c r="A54" s="12">
        <v>10</v>
      </c>
      <c r="B54" s="14" t="s">
        <v>43</v>
      </c>
      <c r="C54" s="14">
        <f>339619330+8150719</f>
        <v>347770049</v>
      </c>
      <c r="D54" s="14">
        <f t="shared" si="1"/>
        <v>347770049</v>
      </c>
    </row>
    <row r="55" spans="1:4" s="1" customFormat="1" ht="15.6" x14ac:dyDescent="0.3">
      <c r="A55" s="12">
        <v>11</v>
      </c>
      <c r="B55" s="14" t="s">
        <v>44</v>
      </c>
      <c r="C55" s="14">
        <f>5820000</f>
        <v>5820000</v>
      </c>
      <c r="D55" s="14">
        <f t="shared" si="1"/>
        <v>5820000</v>
      </c>
    </row>
    <row r="56" spans="1:4" s="1" customFormat="1" ht="15.6" x14ac:dyDescent="0.3">
      <c r="A56" s="11">
        <v>12</v>
      </c>
      <c r="B56" s="14" t="s">
        <v>45</v>
      </c>
      <c r="C56" s="14">
        <f>60964484+55692000</f>
        <v>116656484</v>
      </c>
      <c r="D56" s="14">
        <f t="shared" si="1"/>
        <v>116656484</v>
      </c>
    </row>
    <row r="57" spans="1:4" s="1" customFormat="1" ht="15.6" x14ac:dyDescent="0.3">
      <c r="A57" s="12">
        <v>13</v>
      </c>
      <c r="B57" s="14" t="s">
        <v>46</v>
      </c>
      <c r="C57" s="14">
        <f>6628344</f>
        <v>6628344</v>
      </c>
      <c r="D57" s="14">
        <f t="shared" si="1"/>
        <v>6628344</v>
      </c>
    </row>
    <row r="58" spans="1:4" s="1" customFormat="1" ht="15.6" x14ac:dyDescent="0.3">
      <c r="A58" s="12">
        <v>14</v>
      </c>
      <c r="B58" s="14" t="s">
        <v>47</v>
      </c>
      <c r="C58" s="14">
        <f>281198206</f>
        <v>281198206</v>
      </c>
      <c r="D58" s="14">
        <f t="shared" si="1"/>
        <v>281198206</v>
      </c>
    </row>
    <row r="59" spans="1:4" s="1" customFormat="1" ht="15.6" x14ac:dyDescent="0.3">
      <c r="A59" s="12">
        <v>15</v>
      </c>
      <c r="B59" s="14" t="s">
        <v>48</v>
      </c>
      <c r="C59" s="14">
        <f>22027007</f>
        <v>22027007</v>
      </c>
      <c r="D59" s="14">
        <f t="shared" si="1"/>
        <v>22027007</v>
      </c>
    </row>
    <row r="60" spans="1:4" s="1" customFormat="1" ht="15.6" x14ac:dyDescent="0.3">
      <c r="A60" s="11">
        <v>16</v>
      </c>
      <c r="B60" s="14" t="s">
        <v>49</v>
      </c>
      <c r="C60" s="14">
        <f>4284000</f>
        <v>4284000</v>
      </c>
      <c r="D60" s="14">
        <f t="shared" si="1"/>
        <v>4284000</v>
      </c>
    </row>
    <row r="61" spans="1:4" s="1" customFormat="1" ht="15.6" x14ac:dyDescent="0.3">
      <c r="A61" s="12">
        <v>17</v>
      </c>
      <c r="B61" s="14" t="s">
        <v>50</v>
      </c>
      <c r="C61" s="14">
        <f>416132550</f>
        <v>416132550</v>
      </c>
      <c r="D61" s="14">
        <f t="shared" si="1"/>
        <v>416132550</v>
      </c>
    </row>
    <row r="62" spans="1:4" s="1" customFormat="1" ht="15.6" x14ac:dyDescent="0.3">
      <c r="A62" s="12">
        <v>18</v>
      </c>
      <c r="B62" s="13" t="s">
        <v>51</v>
      </c>
      <c r="C62" s="13">
        <f>SUM(C63:C64)</f>
        <v>60289000</v>
      </c>
      <c r="D62" s="13">
        <f t="shared" si="1"/>
        <v>60289000</v>
      </c>
    </row>
    <row r="63" spans="1:4" s="1" customFormat="1" ht="15.6" x14ac:dyDescent="0.3">
      <c r="A63" s="12">
        <v>19</v>
      </c>
      <c r="B63" s="14" t="s">
        <v>52</v>
      </c>
      <c r="C63" s="14">
        <f>43585000+13800000</f>
        <v>57385000</v>
      </c>
      <c r="D63" s="14">
        <f t="shared" si="1"/>
        <v>57385000</v>
      </c>
    </row>
    <row r="64" spans="1:4" s="1" customFormat="1" ht="15.6" x14ac:dyDescent="0.3">
      <c r="A64" s="11">
        <v>20</v>
      </c>
      <c r="B64" s="14" t="s">
        <v>53</v>
      </c>
      <c r="C64" s="14">
        <f>2904000</f>
        <v>2904000</v>
      </c>
      <c r="D64" s="14">
        <f t="shared" si="1"/>
        <v>2904000</v>
      </c>
    </row>
    <row r="65" spans="1:4" s="1" customFormat="1" ht="15.6" x14ac:dyDescent="0.3">
      <c r="A65" s="12">
        <v>21</v>
      </c>
      <c r="B65" s="13" t="s">
        <v>54</v>
      </c>
      <c r="C65" s="13">
        <f>SUM(C66:C67)</f>
        <v>26701438</v>
      </c>
      <c r="D65" s="13">
        <f t="shared" si="1"/>
        <v>26701438</v>
      </c>
    </row>
    <row r="66" spans="1:4" s="1" customFormat="1" ht="15.6" x14ac:dyDescent="0.3">
      <c r="A66" s="12">
        <v>22</v>
      </c>
      <c r="B66" s="14" t="s">
        <v>55</v>
      </c>
      <c r="C66" s="14">
        <f>966000</f>
        <v>966000</v>
      </c>
      <c r="D66" s="14">
        <f t="shared" si="1"/>
        <v>966000</v>
      </c>
    </row>
    <row r="67" spans="1:4" s="1" customFormat="1" ht="15.6" x14ac:dyDescent="0.3">
      <c r="A67" s="12">
        <v>23</v>
      </c>
      <c r="B67" s="14" t="s">
        <v>56</v>
      </c>
      <c r="C67" s="14">
        <f>25735438</f>
        <v>25735438</v>
      </c>
      <c r="D67" s="14">
        <f t="shared" si="1"/>
        <v>25735438</v>
      </c>
    </row>
    <row r="68" spans="1:4" s="1" customFormat="1" ht="15.6" x14ac:dyDescent="0.3">
      <c r="A68" s="11">
        <v>24</v>
      </c>
      <c r="B68" s="13" t="s">
        <v>57</v>
      </c>
      <c r="C68" s="13">
        <f>SUM(C69:C72)</f>
        <v>1268415356</v>
      </c>
      <c r="D68" s="14">
        <f t="shared" si="1"/>
        <v>1268415356</v>
      </c>
    </row>
    <row r="69" spans="1:4" s="1" customFormat="1" ht="15.6" x14ac:dyDescent="0.3">
      <c r="A69" s="12">
        <v>25</v>
      </c>
      <c r="B69" s="14" t="s">
        <v>58</v>
      </c>
      <c r="C69" s="14">
        <f>977739823</f>
        <v>977739823</v>
      </c>
      <c r="D69" s="14">
        <f t="shared" si="1"/>
        <v>977739823</v>
      </c>
    </row>
    <row r="70" spans="1:4" s="1" customFormat="1" ht="15.6" x14ac:dyDescent="0.3">
      <c r="A70" s="12">
        <v>26</v>
      </c>
      <c r="B70" s="14" t="s">
        <v>59</v>
      </c>
      <c r="C70" s="14">
        <f>164661633</f>
        <v>164661633</v>
      </c>
      <c r="D70" s="14">
        <f t="shared" si="1"/>
        <v>164661633</v>
      </c>
    </row>
    <row r="71" spans="1:4" s="1" customFormat="1" ht="15.6" x14ac:dyDescent="0.3">
      <c r="A71" s="12">
        <v>27</v>
      </c>
      <c r="B71" s="14" t="s">
        <v>60</v>
      </c>
      <c r="C71" s="14">
        <f>82971455</f>
        <v>82971455</v>
      </c>
      <c r="D71" s="14">
        <f t="shared" si="1"/>
        <v>82971455</v>
      </c>
    </row>
    <row r="72" spans="1:4" s="1" customFormat="1" ht="15.6" x14ac:dyDescent="0.3">
      <c r="A72" s="11">
        <v>28</v>
      </c>
      <c r="B72" s="14" t="s">
        <v>61</v>
      </c>
      <c r="C72" s="14">
        <f>43042445</f>
        <v>43042445</v>
      </c>
      <c r="D72" s="14">
        <f t="shared" si="1"/>
        <v>43042445</v>
      </c>
    </row>
    <row r="73" spans="1:4" s="1" customFormat="1" ht="15.6" x14ac:dyDescent="0.3">
      <c r="A73" s="12">
        <v>29</v>
      </c>
      <c r="B73" s="13" t="s">
        <v>62</v>
      </c>
      <c r="C73" s="13">
        <f>SUM(C74:C75)</f>
        <v>2394326161</v>
      </c>
      <c r="D73" s="13">
        <f t="shared" si="1"/>
        <v>2394326161</v>
      </c>
    </row>
    <row r="74" spans="1:4" s="1" customFormat="1" ht="31.2" x14ac:dyDescent="0.3">
      <c r="A74" s="12">
        <v>30</v>
      </c>
      <c r="B74" s="14" t="s">
        <v>63</v>
      </c>
      <c r="C74" s="14">
        <f>2355170411</f>
        <v>2355170411</v>
      </c>
      <c r="D74" s="14">
        <f t="shared" si="1"/>
        <v>2355170411</v>
      </c>
    </row>
    <row r="75" spans="1:4" s="1" customFormat="1" ht="15.6" x14ac:dyDescent="0.3">
      <c r="A75" s="12">
        <v>31</v>
      </c>
      <c r="B75" s="14" t="s">
        <v>64</v>
      </c>
      <c r="C75" s="14">
        <f>39155750</f>
        <v>39155750</v>
      </c>
      <c r="D75" s="14">
        <f t="shared" si="1"/>
        <v>39155750</v>
      </c>
    </row>
    <row r="76" spans="1:4" s="1" customFormat="1" ht="15.6" x14ac:dyDescent="0.3">
      <c r="A76" s="11">
        <v>32</v>
      </c>
      <c r="B76" s="13" t="s">
        <v>65</v>
      </c>
      <c r="C76" s="13">
        <f>SUM(C77:C81)</f>
        <v>311176081</v>
      </c>
      <c r="D76" s="13">
        <f t="shared" si="1"/>
        <v>311176081</v>
      </c>
    </row>
    <row r="77" spans="1:4" s="1" customFormat="1" ht="15.6" x14ac:dyDescent="0.3">
      <c r="A77" s="12">
        <v>33</v>
      </c>
      <c r="B77" s="14" t="s">
        <v>66</v>
      </c>
      <c r="C77" s="14">
        <f>146110707</f>
        <v>146110707</v>
      </c>
      <c r="D77" s="14">
        <f t="shared" si="1"/>
        <v>146110707</v>
      </c>
    </row>
    <row r="78" spans="1:4" s="1" customFormat="1" ht="15.6" x14ac:dyDescent="0.3">
      <c r="A78" s="12">
        <v>34</v>
      </c>
      <c r="B78" s="14" t="s">
        <v>67</v>
      </c>
      <c r="C78" s="14">
        <f>12073360</f>
        <v>12073360</v>
      </c>
      <c r="D78" s="14">
        <f t="shared" si="1"/>
        <v>12073360</v>
      </c>
    </row>
    <row r="79" spans="1:4" s="1" customFormat="1" ht="15.6" x14ac:dyDescent="0.3">
      <c r="A79" s="12">
        <v>35</v>
      </c>
      <c r="B79" s="14" t="s">
        <v>68</v>
      </c>
      <c r="C79" s="14">
        <f>44792350+93745664</f>
        <v>138538014</v>
      </c>
      <c r="D79" s="14">
        <f t="shared" si="1"/>
        <v>138538014</v>
      </c>
    </row>
    <row r="80" spans="1:4" s="1" customFormat="1" ht="15.6" x14ac:dyDescent="0.3">
      <c r="A80" s="11">
        <v>36</v>
      </c>
      <c r="B80" s="14" t="s">
        <v>69</v>
      </c>
      <c r="C80" s="14">
        <f>8670000</f>
        <v>8670000</v>
      </c>
      <c r="D80" s="14">
        <f t="shared" si="1"/>
        <v>8670000</v>
      </c>
    </row>
    <row r="81" spans="1:4" s="1" customFormat="1" ht="15.6" x14ac:dyDescent="0.3">
      <c r="A81" s="12">
        <v>37</v>
      </c>
      <c r="B81" s="14" t="s">
        <v>70</v>
      </c>
      <c r="C81" s="14">
        <f>5564000+220000</f>
        <v>5784000</v>
      </c>
      <c r="D81" s="14">
        <f t="shared" si="1"/>
        <v>5784000</v>
      </c>
    </row>
    <row r="82" spans="1:4" s="1" customFormat="1" ht="15.6" x14ac:dyDescent="0.3">
      <c r="A82" s="12">
        <v>38</v>
      </c>
      <c r="B82" s="13" t="s">
        <v>71</v>
      </c>
      <c r="C82" s="13">
        <f>SUM(C83:C86)</f>
        <v>367689100</v>
      </c>
      <c r="D82" s="13">
        <f t="shared" si="1"/>
        <v>367689100</v>
      </c>
    </row>
    <row r="83" spans="1:4" s="1" customFormat="1" ht="15.6" x14ac:dyDescent="0.3">
      <c r="A83" s="12">
        <v>39</v>
      </c>
      <c r="B83" s="14" t="s">
        <v>72</v>
      </c>
      <c r="C83" s="14">
        <f>132024600+33193500</f>
        <v>165218100</v>
      </c>
      <c r="D83" s="14">
        <f t="shared" si="1"/>
        <v>165218100</v>
      </c>
    </row>
    <row r="84" spans="1:4" s="1" customFormat="1" ht="15.6" x14ac:dyDescent="0.3">
      <c r="A84" s="11">
        <v>40</v>
      </c>
      <c r="B84" s="14" t="s">
        <v>73</v>
      </c>
      <c r="C84" s="14">
        <f>45316000</f>
        <v>45316000</v>
      </c>
      <c r="D84" s="14">
        <f t="shared" si="1"/>
        <v>45316000</v>
      </c>
    </row>
    <row r="85" spans="1:4" s="1" customFormat="1" ht="15.6" x14ac:dyDescent="0.3">
      <c r="A85" s="12">
        <v>41</v>
      </c>
      <c r="B85" s="14" t="s">
        <v>74</v>
      </c>
      <c r="C85" s="14">
        <f>40000000</f>
        <v>40000000</v>
      </c>
      <c r="D85" s="14">
        <f t="shared" si="1"/>
        <v>40000000</v>
      </c>
    </row>
    <row r="86" spans="1:4" s="1" customFormat="1" ht="15.6" x14ac:dyDescent="0.3">
      <c r="A86" s="12">
        <v>42</v>
      </c>
      <c r="B86" s="14" t="s">
        <v>75</v>
      </c>
      <c r="C86" s="14">
        <f>115205000+1950000</f>
        <v>117155000</v>
      </c>
      <c r="D86" s="14">
        <f t="shared" si="1"/>
        <v>117155000</v>
      </c>
    </row>
    <row r="87" spans="1:4" s="1" customFormat="1" ht="15.6" x14ac:dyDescent="0.3">
      <c r="A87" s="12">
        <v>43</v>
      </c>
      <c r="B87" s="13" t="s">
        <v>76</v>
      </c>
      <c r="C87" s="13">
        <f>SUM(C88:C97)</f>
        <v>538524806</v>
      </c>
      <c r="D87" s="13">
        <f t="shared" si="1"/>
        <v>538524806</v>
      </c>
    </row>
    <row r="88" spans="1:4" s="1" customFormat="1" ht="15.6" x14ac:dyDescent="0.3">
      <c r="A88" s="11">
        <v>44</v>
      </c>
      <c r="B88" s="14" t="s">
        <v>77</v>
      </c>
      <c r="C88" s="14">
        <f>55940112</f>
        <v>55940112</v>
      </c>
      <c r="D88" s="14">
        <f t="shared" si="1"/>
        <v>55940112</v>
      </c>
    </row>
    <row r="89" spans="1:4" s="1" customFormat="1" ht="15.6" x14ac:dyDescent="0.3">
      <c r="A89" s="12">
        <v>45</v>
      </c>
      <c r="B89" s="14" t="s">
        <v>78</v>
      </c>
      <c r="C89" s="14">
        <f>20803005+77251716</f>
        <v>98054721</v>
      </c>
      <c r="D89" s="14">
        <f t="shared" si="1"/>
        <v>98054721</v>
      </c>
    </row>
    <row r="90" spans="1:4" s="1" customFormat="1" ht="15.6" x14ac:dyDescent="0.3">
      <c r="A90" s="12">
        <v>46</v>
      </c>
      <c r="B90" s="14" t="s">
        <v>79</v>
      </c>
      <c r="C90" s="14">
        <f>120000000</f>
        <v>120000000</v>
      </c>
      <c r="D90" s="14">
        <f t="shared" si="1"/>
        <v>120000000</v>
      </c>
    </row>
    <row r="91" spans="1:4" s="1" customFormat="1" ht="15.6" x14ac:dyDescent="0.3">
      <c r="A91" s="12">
        <v>47</v>
      </c>
      <c r="B91" s="14" t="s">
        <v>80</v>
      </c>
      <c r="C91" s="14">
        <f>79310000</f>
        <v>79310000</v>
      </c>
      <c r="D91" s="14">
        <f t="shared" si="1"/>
        <v>79310000</v>
      </c>
    </row>
    <row r="92" spans="1:4" s="1" customFormat="1" ht="15.6" x14ac:dyDescent="0.3">
      <c r="A92" s="11">
        <v>48</v>
      </c>
      <c r="B92" s="14" t="s">
        <v>137</v>
      </c>
      <c r="C92" s="14">
        <f>69600000</f>
        <v>69600000</v>
      </c>
      <c r="D92" s="14">
        <f t="shared" si="1"/>
        <v>69600000</v>
      </c>
    </row>
    <row r="93" spans="1:4" s="1" customFormat="1" ht="15.6" x14ac:dyDescent="0.3">
      <c r="A93" s="12">
        <v>49</v>
      </c>
      <c r="B93" s="14" t="s">
        <v>81</v>
      </c>
      <c r="C93" s="14">
        <f>5354600+11980000</f>
        <v>17334600</v>
      </c>
      <c r="D93" s="14">
        <f t="shared" si="1"/>
        <v>17334600</v>
      </c>
    </row>
    <row r="94" spans="1:4" s="1" customFormat="1" ht="15.6" x14ac:dyDescent="0.3">
      <c r="A94" s="12">
        <v>50</v>
      </c>
      <c r="B94" s="14" t="s">
        <v>82</v>
      </c>
      <c r="C94" s="14">
        <f>2143800</f>
        <v>2143800</v>
      </c>
      <c r="D94" s="14">
        <f t="shared" si="1"/>
        <v>2143800</v>
      </c>
    </row>
    <row r="95" spans="1:4" s="1" customFormat="1" ht="15.6" x14ac:dyDescent="0.3">
      <c r="A95" s="12">
        <v>51</v>
      </c>
      <c r="B95" s="14" t="s">
        <v>83</v>
      </c>
      <c r="C95" s="14">
        <f>30951573</f>
        <v>30951573</v>
      </c>
      <c r="D95" s="14">
        <f t="shared" si="1"/>
        <v>30951573</v>
      </c>
    </row>
    <row r="96" spans="1:4" s="1" customFormat="1" ht="15.6" x14ac:dyDescent="0.3">
      <c r="A96" s="11">
        <v>52</v>
      </c>
      <c r="B96" s="14" t="s">
        <v>84</v>
      </c>
      <c r="C96" s="14">
        <f>63980000</f>
        <v>63980000</v>
      </c>
      <c r="D96" s="14">
        <f t="shared" si="1"/>
        <v>63980000</v>
      </c>
    </row>
    <row r="97" spans="1:4" s="1" customFormat="1" ht="15.6" x14ac:dyDescent="0.3">
      <c r="A97" s="12">
        <v>53</v>
      </c>
      <c r="B97" s="14" t="s">
        <v>85</v>
      </c>
      <c r="C97" s="14">
        <f>1210000</f>
        <v>1210000</v>
      </c>
      <c r="D97" s="14">
        <f t="shared" si="1"/>
        <v>1210000</v>
      </c>
    </row>
    <row r="98" spans="1:4" s="1" customFormat="1" ht="15.6" x14ac:dyDescent="0.3">
      <c r="A98" s="12">
        <v>54</v>
      </c>
      <c r="B98" s="13" t="s">
        <v>86</v>
      </c>
      <c r="C98" s="13">
        <f>SUM(C99:C105)</f>
        <v>310205800</v>
      </c>
      <c r="D98" s="13">
        <f t="shared" si="1"/>
        <v>310205800</v>
      </c>
    </row>
    <row r="99" spans="1:4" s="1" customFormat="1" ht="15.6" x14ac:dyDescent="0.3">
      <c r="A99" s="12">
        <v>55</v>
      </c>
      <c r="B99" s="14" t="s">
        <v>87</v>
      </c>
      <c r="C99" s="14">
        <f>52897800</f>
        <v>52897800</v>
      </c>
      <c r="D99" s="14">
        <f t="shared" si="1"/>
        <v>52897800</v>
      </c>
    </row>
    <row r="100" spans="1:4" s="1" customFormat="1" ht="15.6" x14ac:dyDescent="0.3">
      <c r="A100" s="11">
        <v>56</v>
      </c>
      <c r="B100" s="14" t="s">
        <v>88</v>
      </c>
      <c r="C100" s="14">
        <f>32250000</f>
        <v>32250000</v>
      </c>
      <c r="D100" s="14">
        <f t="shared" si="1"/>
        <v>32250000</v>
      </c>
    </row>
    <row r="101" spans="1:4" s="1" customFormat="1" ht="15.6" x14ac:dyDescent="0.3">
      <c r="A101" s="12">
        <v>57</v>
      </c>
      <c r="B101" s="14" t="s">
        <v>89</v>
      </c>
      <c r="C101" s="14">
        <f>28000+4136000</f>
        <v>4164000</v>
      </c>
      <c r="D101" s="14">
        <f t="shared" si="1"/>
        <v>4164000</v>
      </c>
    </row>
    <row r="102" spans="1:4" s="1" customFormat="1" ht="15.6" x14ac:dyDescent="0.3">
      <c r="A102" s="12">
        <v>58</v>
      </c>
      <c r="B102" s="14" t="s">
        <v>90</v>
      </c>
      <c r="C102" s="14">
        <v>2740000</v>
      </c>
      <c r="D102" s="14">
        <f t="shared" si="1"/>
        <v>2740000</v>
      </c>
    </row>
    <row r="103" spans="1:4" s="1" customFormat="1" ht="15.6" x14ac:dyDescent="0.3">
      <c r="A103" s="12">
        <v>59</v>
      </c>
      <c r="B103" s="14" t="s">
        <v>91</v>
      </c>
      <c r="C103" s="14">
        <f>3000000+48100000</f>
        <v>51100000</v>
      </c>
      <c r="D103" s="14">
        <f t="shared" si="1"/>
        <v>51100000</v>
      </c>
    </row>
    <row r="104" spans="1:4" s="1" customFormat="1" ht="15.6" x14ac:dyDescent="0.3">
      <c r="A104" s="11">
        <v>60</v>
      </c>
      <c r="B104" s="14" t="s">
        <v>92</v>
      </c>
      <c r="C104" s="14">
        <f>800000+19450000</f>
        <v>20250000</v>
      </c>
      <c r="D104" s="14">
        <f t="shared" si="1"/>
        <v>20250000</v>
      </c>
    </row>
    <row r="105" spans="1:4" s="1" customFormat="1" ht="15.6" x14ac:dyDescent="0.3">
      <c r="A105" s="12">
        <v>61</v>
      </c>
      <c r="B105" s="14" t="s">
        <v>93</v>
      </c>
      <c r="C105" s="14">
        <f>6700000+140104000</f>
        <v>146804000</v>
      </c>
      <c r="D105" s="14">
        <f t="shared" si="1"/>
        <v>146804000</v>
      </c>
    </row>
    <row r="106" spans="1:4" s="1" customFormat="1" ht="15.6" x14ac:dyDescent="0.3">
      <c r="A106" s="12">
        <v>62</v>
      </c>
      <c r="B106" s="13" t="s">
        <v>94</v>
      </c>
      <c r="C106" s="13">
        <f>SUM(C107:C111)</f>
        <v>565738000</v>
      </c>
      <c r="D106" s="13">
        <f t="shared" si="1"/>
        <v>565738000</v>
      </c>
    </row>
    <row r="107" spans="1:4" s="1" customFormat="1" ht="15.6" x14ac:dyDescent="0.3">
      <c r="A107" s="12">
        <v>63</v>
      </c>
      <c r="B107" s="14" t="s">
        <v>95</v>
      </c>
      <c r="C107" s="14">
        <f>14099000+23834000</f>
        <v>37933000</v>
      </c>
      <c r="D107" s="14">
        <f t="shared" si="1"/>
        <v>37933000</v>
      </c>
    </row>
    <row r="108" spans="1:4" s="1" customFormat="1" ht="15.6" x14ac:dyDescent="0.3">
      <c r="A108" s="11">
        <v>64</v>
      </c>
      <c r="B108" s="14" t="s">
        <v>96</v>
      </c>
      <c r="C108" s="14">
        <f>73253000+267780000</f>
        <v>341033000</v>
      </c>
      <c r="D108" s="14">
        <f t="shared" si="1"/>
        <v>341033000</v>
      </c>
    </row>
    <row r="109" spans="1:4" s="1" customFormat="1" ht="15.6" x14ac:dyDescent="0.3">
      <c r="A109" s="12">
        <v>65</v>
      </c>
      <c r="B109" s="14" t="s">
        <v>97</v>
      </c>
      <c r="C109" s="14">
        <f>36702000+99770000</f>
        <v>136472000</v>
      </c>
      <c r="D109" s="14">
        <f t="shared" si="1"/>
        <v>136472000</v>
      </c>
    </row>
    <row r="110" spans="1:4" s="1" customFormat="1" ht="15.6" x14ac:dyDescent="0.3">
      <c r="A110" s="12">
        <v>66</v>
      </c>
      <c r="B110" s="14" t="s">
        <v>98</v>
      </c>
      <c r="C110" s="14">
        <f>49500000</f>
        <v>49500000</v>
      </c>
      <c r="D110" s="14">
        <f t="shared" si="1"/>
        <v>49500000</v>
      </c>
    </row>
    <row r="111" spans="1:4" s="1" customFormat="1" ht="15.6" x14ac:dyDescent="0.3">
      <c r="A111" s="12">
        <v>67</v>
      </c>
      <c r="B111" s="14" t="s">
        <v>138</v>
      </c>
      <c r="C111" s="14">
        <f>800000</f>
        <v>800000</v>
      </c>
      <c r="D111" s="14">
        <f t="shared" ref="D111:D153" si="2">C111</f>
        <v>800000</v>
      </c>
    </row>
    <row r="112" spans="1:4" s="1" customFormat="1" ht="15.6" x14ac:dyDescent="0.3">
      <c r="A112" s="11">
        <v>68</v>
      </c>
      <c r="B112" s="13" t="s">
        <v>99</v>
      </c>
      <c r="C112" s="13">
        <f>SUM(C113:C116)</f>
        <v>346540000</v>
      </c>
      <c r="D112" s="13">
        <f t="shared" si="2"/>
        <v>346540000</v>
      </c>
    </row>
    <row r="113" spans="1:4" s="1" customFormat="1" ht="15.6" x14ac:dyDescent="0.3">
      <c r="A113" s="12">
        <v>69</v>
      </c>
      <c r="B113" s="14" t="s">
        <v>100</v>
      </c>
      <c r="C113" s="14">
        <f>49680000+264900000</f>
        <v>314580000</v>
      </c>
      <c r="D113" s="14">
        <f t="shared" si="2"/>
        <v>314580000</v>
      </c>
    </row>
    <row r="114" spans="1:4" s="1" customFormat="1" ht="15.6" x14ac:dyDescent="0.3">
      <c r="A114" s="12">
        <v>70</v>
      </c>
      <c r="B114" s="14" t="s">
        <v>101</v>
      </c>
      <c r="C114" s="14">
        <f>6000000+11500000</f>
        <v>17500000</v>
      </c>
      <c r="D114" s="14">
        <f t="shared" si="2"/>
        <v>17500000</v>
      </c>
    </row>
    <row r="115" spans="1:4" s="1" customFormat="1" ht="15.6" x14ac:dyDescent="0.3">
      <c r="A115" s="12">
        <v>71</v>
      </c>
      <c r="B115" s="14" t="s">
        <v>102</v>
      </c>
      <c r="C115" s="14">
        <f>8790000</f>
        <v>8790000</v>
      </c>
      <c r="D115" s="14">
        <f t="shared" si="2"/>
        <v>8790000</v>
      </c>
    </row>
    <row r="116" spans="1:4" s="1" customFormat="1" ht="15.6" x14ac:dyDescent="0.3">
      <c r="A116" s="11">
        <v>72</v>
      </c>
      <c r="B116" s="14" t="s">
        <v>103</v>
      </c>
      <c r="C116" s="14">
        <f>5670000</f>
        <v>5670000</v>
      </c>
      <c r="D116" s="14">
        <f t="shared" si="2"/>
        <v>5670000</v>
      </c>
    </row>
    <row r="117" spans="1:4" s="1" customFormat="1" ht="15.75" customHeight="1" x14ac:dyDescent="0.3">
      <c r="A117" s="12">
        <v>73</v>
      </c>
      <c r="B117" s="13" t="s">
        <v>104</v>
      </c>
      <c r="C117" s="13">
        <f>SUM(C118:C125)</f>
        <v>37113000</v>
      </c>
      <c r="D117" s="13">
        <f t="shared" si="2"/>
        <v>37113000</v>
      </c>
    </row>
    <row r="118" spans="1:4" s="1" customFormat="1" ht="15.6" x14ac:dyDescent="0.3">
      <c r="A118" s="12">
        <v>74</v>
      </c>
      <c r="B118" s="14" t="s">
        <v>105</v>
      </c>
      <c r="C118" s="14">
        <f>1212000</f>
        <v>1212000</v>
      </c>
      <c r="D118" s="14">
        <f t="shared" si="2"/>
        <v>1212000</v>
      </c>
    </row>
    <row r="119" spans="1:4" s="1" customFormat="1" ht="15.6" x14ac:dyDescent="0.3">
      <c r="A119" s="12">
        <v>75</v>
      </c>
      <c r="B119" s="14" t="s">
        <v>106</v>
      </c>
      <c r="C119" s="14">
        <f>5455000</f>
        <v>5455000</v>
      </c>
      <c r="D119" s="14">
        <f t="shared" si="2"/>
        <v>5455000</v>
      </c>
    </row>
    <row r="120" spans="1:4" s="1" customFormat="1" ht="15.6" x14ac:dyDescent="0.3">
      <c r="A120" s="11">
        <v>76</v>
      </c>
      <c r="B120" s="14" t="s">
        <v>107</v>
      </c>
      <c r="C120" s="14">
        <f>2050000</f>
        <v>2050000</v>
      </c>
      <c r="D120" s="14">
        <f t="shared" si="2"/>
        <v>2050000</v>
      </c>
    </row>
    <row r="121" spans="1:4" s="1" customFormat="1" ht="15.6" x14ac:dyDescent="0.3">
      <c r="A121" s="12">
        <v>77</v>
      </c>
      <c r="B121" s="14" t="s">
        <v>108</v>
      </c>
      <c r="C121" s="14">
        <f>13020000</f>
        <v>13020000</v>
      </c>
      <c r="D121" s="14">
        <f t="shared" si="2"/>
        <v>13020000</v>
      </c>
    </row>
    <row r="122" spans="1:4" s="1" customFormat="1" ht="15.6" x14ac:dyDescent="0.3">
      <c r="A122" s="12">
        <v>78</v>
      </c>
      <c r="B122" s="14" t="s">
        <v>109</v>
      </c>
      <c r="C122" s="14">
        <f>1900000</f>
        <v>1900000</v>
      </c>
      <c r="D122" s="14">
        <f t="shared" si="2"/>
        <v>1900000</v>
      </c>
    </row>
    <row r="123" spans="1:4" s="1" customFormat="1" ht="15.6" x14ac:dyDescent="0.3">
      <c r="A123" s="12">
        <v>79</v>
      </c>
      <c r="B123" s="14" t="s">
        <v>136</v>
      </c>
      <c r="C123" s="14">
        <f>10000000</f>
        <v>10000000</v>
      </c>
      <c r="D123" s="14">
        <f t="shared" si="2"/>
        <v>10000000</v>
      </c>
    </row>
    <row r="124" spans="1:4" s="1" customFormat="1" ht="15.6" x14ac:dyDescent="0.3">
      <c r="A124" s="11">
        <v>80</v>
      </c>
      <c r="B124" s="14" t="s">
        <v>110</v>
      </c>
      <c r="C124" s="14">
        <f>1584000</f>
        <v>1584000</v>
      </c>
      <c r="D124" s="14">
        <f t="shared" si="2"/>
        <v>1584000</v>
      </c>
    </row>
    <row r="125" spans="1:4" s="1" customFormat="1" ht="15.6" x14ac:dyDescent="0.3">
      <c r="A125" s="12">
        <v>81</v>
      </c>
      <c r="B125" s="14" t="s">
        <v>111</v>
      </c>
      <c r="C125" s="14">
        <f>1892000</f>
        <v>1892000</v>
      </c>
      <c r="D125" s="14">
        <f t="shared" si="2"/>
        <v>1892000</v>
      </c>
    </row>
    <row r="126" spans="1:4" s="1" customFormat="1" ht="15.6" x14ac:dyDescent="0.3">
      <c r="A126" s="12">
        <v>82</v>
      </c>
      <c r="B126" s="13" t="s">
        <v>112</v>
      </c>
      <c r="C126" s="13">
        <f>SUM(C127:C132)</f>
        <v>5557291220</v>
      </c>
      <c r="D126" s="13">
        <f t="shared" si="2"/>
        <v>5557291220</v>
      </c>
    </row>
    <row r="127" spans="1:4" s="1" customFormat="1" ht="31.2" x14ac:dyDescent="0.3">
      <c r="A127" s="12">
        <v>83</v>
      </c>
      <c r="B127" s="14" t="s">
        <v>113</v>
      </c>
      <c r="C127" s="14">
        <f>15411000+6000000</f>
        <v>21411000</v>
      </c>
      <c r="D127" s="14">
        <f t="shared" si="2"/>
        <v>21411000</v>
      </c>
    </row>
    <row r="128" spans="1:4" s="1" customFormat="1" ht="15.6" x14ac:dyDescent="0.3">
      <c r="A128" s="11">
        <v>84</v>
      </c>
      <c r="B128" s="14" t="s">
        <v>114</v>
      </c>
      <c r="C128" s="14">
        <f>137000000+98536000</f>
        <v>235536000</v>
      </c>
      <c r="D128" s="14">
        <f t="shared" si="2"/>
        <v>235536000</v>
      </c>
    </row>
    <row r="129" spans="1:4" s="1" customFormat="1" ht="31.2" x14ac:dyDescent="0.3">
      <c r="A129" s="12">
        <v>85</v>
      </c>
      <c r="B129" s="14" t="s">
        <v>115</v>
      </c>
      <c r="C129" s="14">
        <f>15940000</f>
        <v>15940000</v>
      </c>
      <c r="D129" s="14">
        <f t="shared" si="2"/>
        <v>15940000</v>
      </c>
    </row>
    <row r="130" spans="1:4" s="1" customFormat="1" ht="15.6" x14ac:dyDescent="0.3">
      <c r="A130" s="12">
        <v>86</v>
      </c>
      <c r="B130" s="14" t="s">
        <v>116</v>
      </c>
      <c r="C130" s="14">
        <f>156098920</f>
        <v>156098920</v>
      </c>
      <c r="D130" s="14">
        <f t="shared" si="2"/>
        <v>156098920</v>
      </c>
    </row>
    <row r="131" spans="1:4" s="1" customFormat="1" ht="15.6" x14ac:dyDescent="0.3">
      <c r="A131" s="12">
        <v>87</v>
      </c>
      <c r="B131" s="14" t="s">
        <v>139</v>
      </c>
      <c r="C131" s="14">
        <f>3112072000</f>
        <v>3112072000</v>
      </c>
      <c r="D131" s="14">
        <f t="shared" si="2"/>
        <v>3112072000</v>
      </c>
    </row>
    <row r="132" spans="1:4" s="1" customFormat="1" ht="15.6" x14ac:dyDescent="0.3">
      <c r="A132" s="11">
        <v>88</v>
      </c>
      <c r="B132" s="14" t="s">
        <v>117</v>
      </c>
      <c r="C132" s="14">
        <f>424798800+1591434500</f>
        <v>2016233300</v>
      </c>
      <c r="D132" s="14">
        <f t="shared" si="2"/>
        <v>2016233300</v>
      </c>
    </row>
    <row r="133" spans="1:4" s="1" customFormat="1" ht="15.6" x14ac:dyDescent="0.3">
      <c r="A133" s="12">
        <v>89</v>
      </c>
      <c r="B133" s="13" t="s">
        <v>118</v>
      </c>
      <c r="C133" s="13">
        <f>SUM(C134:C139)</f>
        <v>566997117</v>
      </c>
      <c r="D133" s="13">
        <f t="shared" si="2"/>
        <v>566997117</v>
      </c>
    </row>
    <row r="134" spans="1:4" s="1" customFormat="1" ht="15.6" x14ac:dyDescent="0.3">
      <c r="A134" s="12">
        <v>90</v>
      </c>
      <c r="B134" s="14" t="s">
        <v>119</v>
      </c>
      <c r="C134" s="14">
        <f>28000000</f>
        <v>28000000</v>
      </c>
      <c r="D134" s="14">
        <f t="shared" si="2"/>
        <v>28000000</v>
      </c>
    </row>
    <row r="135" spans="1:4" s="1" customFormat="1" ht="15.6" x14ac:dyDescent="0.3">
      <c r="A135" s="12">
        <v>91</v>
      </c>
      <c r="B135" s="14" t="s">
        <v>120</v>
      </c>
      <c r="C135" s="14">
        <f>8071600+3124200</f>
        <v>11195800</v>
      </c>
      <c r="D135" s="14">
        <f t="shared" si="2"/>
        <v>11195800</v>
      </c>
    </row>
    <row r="136" spans="1:4" s="1" customFormat="1" ht="31.2" x14ac:dyDescent="0.3">
      <c r="A136" s="11">
        <v>92</v>
      </c>
      <c r="B136" s="14" t="s">
        <v>121</v>
      </c>
      <c r="C136" s="14">
        <f>7964700</f>
        <v>7964700</v>
      </c>
      <c r="D136" s="14">
        <f t="shared" si="2"/>
        <v>7964700</v>
      </c>
    </row>
    <row r="137" spans="1:4" s="1" customFormat="1" ht="15.6" x14ac:dyDescent="0.3">
      <c r="A137" s="12">
        <v>93</v>
      </c>
      <c r="B137" s="14" t="s">
        <v>122</v>
      </c>
      <c r="C137" s="14">
        <f>61640000</f>
        <v>61640000</v>
      </c>
      <c r="D137" s="14">
        <f t="shared" si="2"/>
        <v>61640000</v>
      </c>
    </row>
    <row r="138" spans="1:4" s="1" customFormat="1" ht="15.6" x14ac:dyDescent="0.3">
      <c r="A138" s="12">
        <v>94</v>
      </c>
      <c r="B138" s="14" t="s">
        <v>123</v>
      </c>
      <c r="C138" s="14">
        <f>257473500+26693000</f>
        <v>284166500</v>
      </c>
      <c r="D138" s="14">
        <f t="shared" si="2"/>
        <v>284166500</v>
      </c>
    </row>
    <row r="139" spans="1:4" s="1" customFormat="1" ht="15.6" x14ac:dyDescent="0.3">
      <c r="A139" s="12">
        <v>95</v>
      </c>
      <c r="B139" s="14" t="s">
        <v>124</v>
      </c>
      <c r="C139" s="14">
        <f>143380117+30650000</f>
        <v>174030117</v>
      </c>
      <c r="D139" s="14">
        <f t="shared" si="2"/>
        <v>174030117</v>
      </c>
    </row>
    <row r="140" spans="1:4" s="5" customFormat="1" ht="15.6" x14ac:dyDescent="0.3">
      <c r="A140" s="11">
        <v>96</v>
      </c>
      <c r="B140" s="13" t="s">
        <v>140</v>
      </c>
      <c r="C140" s="13">
        <f>SUM(C141:C147)</f>
        <v>616542992</v>
      </c>
      <c r="D140" s="13">
        <f t="shared" si="2"/>
        <v>616542992</v>
      </c>
    </row>
    <row r="141" spans="1:4" s="1" customFormat="1" ht="15.6" x14ac:dyDescent="0.3">
      <c r="A141" s="12">
        <v>97</v>
      </c>
      <c r="B141" s="14" t="s">
        <v>141</v>
      </c>
      <c r="C141" s="14">
        <f>204800</f>
        <v>204800</v>
      </c>
      <c r="D141" s="14">
        <f t="shared" si="2"/>
        <v>204800</v>
      </c>
    </row>
    <row r="142" spans="1:4" s="1" customFormat="1" ht="31.2" x14ac:dyDescent="0.3">
      <c r="A142" s="12">
        <v>98</v>
      </c>
      <c r="B142" s="14" t="s">
        <v>142</v>
      </c>
      <c r="C142" s="14">
        <v>29988000</v>
      </c>
      <c r="D142" s="14">
        <f t="shared" si="2"/>
        <v>29988000</v>
      </c>
    </row>
    <row r="143" spans="1:4" s="1" customFormat="1" ht="15.6" x14ac:dyDescent="0.3">
      <c r="A143" s="12">
        <v>99</v>
      </c>
      <c r="B143" s="13" t="s">
        <v>125</v>
      </c>
      <c r="C143" s="13"/>
      <c r="D143" s="14">
        <f t="shared" si="2"/>
        <v>0</v>
      </c>
    </row>
    <row r="144" spans="1:4" s="1" customFormat="1" ht="15.6" x14ac:dyDescent="0.3">
      <c r="A144" s="11">
        <v>100</v>
      </c>
      <c r="B144" s="14" t="s">
        <v>126</v>
      </c>
      <c r="C144" s="14">
        <f>0</f>
        <v>0</v>
      </c>
      <c r="D144" s="14">
        <f t="shared" si="2"/>
        <v>0</v>
      </c>
    </row>
    <row r="145" spans="1:4" s="1" customFormat="1" ht="15.6" x14ac:dyDescent="0.3">
      <c r="A145" s="12">
        <v>101</v>
      </c>
      <c r="B145" s="14" t="s">
        <v>127</v>
      </c>
      <c r="C145" s="14">
        <f>205468000</f>
        <v>205468000</v>
      </c>
      <c r="D145" s="14">
        <f t="shared" si="2"/>
        <v>205468000</v>
      </c>
    </row>
    <row r="146" spans="1:4" s="1" customFormat="1" ht="15.6" x14ac:dyDescent="0.3">
      <c r="A146" s="12">
        <v>102</v>
      </c>
      <c r="B146" s="14" t="s">
        <v>128</v>
      </c>
      <c r="C146" s="14">
        <f>70779517</f>
        <v>70779517</v>
      </c>
      <c r="D146" s="14">
        <f t="shared" si="2"/>
        <v>70779517</v>
      </c>
    </row>
    <row r="147" spans="1:4" s="1" customFormat="1" ht="15.6" x14ac:dyDescent="0.3">
      <c r="A147" s="12">
        <v>103</v>
      </c>
      <c r="B147" s="14" t="s">
        <v>129</v>
      </c>
      <c r="C147" s="14">
        <f>310102675</f>
        <v>310102675</v>
      </c>
      <c r="D147" s="14">
        <f t="shared" si="2"/>
        <v>310102675</v>
      </c>
    </row>
    <row r="148" spans="1:4" s="1" customFormat="1" ht="15.6" x14ac:dyDescent="0.3">
      <c r="A148" s="11">
        <v>104</v>
      </c>
      <c r="B148" s="13" t="s">
        <v>130</v>
      </c>
      <c r="C148" s="13">
        <f>C149</f>
        <v>20000000</v>
      </c>
      <c r="D148" s="13">
        <f t="shared" si="2"/>
        <v>20000000</v>
      </c>
    </row>
    <row r="149" spans="1:4" s="1" customFormat="1" ht="15.6" x14ac:dyDescent="0.3">
      <c r="A149" s="12">
        <v>105</v>
      </c>
      <c r="B149" s="14" t="s">
        <v>131</v>
      </c>
      <c r="C149" s="14">
        <f>20000000</f>
        <v>20000000</v>
      </c>
      <c r="D149" s="14">
        <f t="shared" si="2"/>
        <v>20000000</v>
      </c>
    </row>
    <row r="150" spans="1:4" s="1" customFormat="1" ht="15.6" x14ac:dyDescent="0.3">
      <c r="A150" s="12">
        <v>106</v>
      </c>
      <c r="B150" s="13" t="s">
        <v>132</v>
      </c>
      <c r="C150" s="13">
        <f>SUM(C151:C153)</f>
        <v>44410000</v>
      </c>
      <c r="D150" s="13">
        <f t="shared" si="2"/>
        <v>44410000</v>
      </c>
    </row>
    <row r="151" spans="1:4" s="1" customFormat="1" ht="15.6" x14ac:dyDescent="0.3">
      <c r="A151" s="12">
        <v>107</v>
      </c>
      <c r="B151" s="14" t="s">
        <v>133</v>
      </c>
      <c r="C151" s="14">
        <f>31610000</f>
        <v>31610000</v>
      </c>
      <c r="D151" s="14">
        <f t="shared" si="2"/>
        <v>31610000</v>
      </c>
    </row>
    <row r="152" spans="1:4" s="1" customFormat="1" ht="15.6" x14ac:dyDescent="0.3">
      <c r="A152" s="11">
        <v>108</v>
      </c>
      <c r="B152" s="14" t="s">
        <v>134</v>
      </c>
      <c r="C152" s="14">
        <f>6800000</f>
        <v>6800000</v>
      </c>
      <c r="D152" s="14">
        <f t="shared" si="2"/>
        <v>6800000</v>
      </c>
    </row>
    <row r="153" spans="1:4" s="1" customFormat="1" ht="15.6" x14ac:dyDescent="0.3">
      <c r="A153" s="12">
        <v>109</v>
      </c>
      <c r="B153" s="14" t="s">
        <v>135</v>
      </c>
      <c r="C153" s="14">
        <f>6000000</f>
        <v>6000000</v>
      </c>
      <c r="D153" s="14">
        <f t="shared" si="2"/>
        <v>6000000</v>
      </c>
    </row>
    <row r="154" spans="1:4" s="1" customFormat="1" ht="15.6" x14ac:dyDescent="0.3"/>
    <row r="155" spans="1:4" s="1" customFormat="1" ht="15.6" x14ac:dyDescent="0.3">
      <c r="B155" s="15" t="s">
        <v>149</v>
      </c>
    </row>
    <row r="156" spans="1:4" s="1" customFormat="1" ht="15.6" x14ac:dyDescent="0.3">
      <c r="C156" s="5" t="s">
        <v>148</v>
      </c>
    </row>
    <row r="157" spans="1:4" s="1" customFormat="1" ht="15.6" x14ac:dyDescent="0.3"/>
  </sheetData>
  <mergeCells count="9">
    <mergeCell ref="A6:D6"/>
    <mergeCell ref="A8:D8"/>
    <mergeCell ref="A1:D1"/>
    <mergeCell ref="A2:D2"/>
    <mergeCell ref="A10:A11"/>
    <mergeCell ref="B10:B11"/>
    <mergeCell ref="C10:C11"/>
    <mergeCell ref="D10:D11"/>
    <mergeCell ref="A7:D7"/>
  </mergeCells>
  <pageMargins left="0.4" right="0.38" top="0.5" bottom="0.4" header="0.3" footer="0.2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20" sqref="B20"/>
    </sheetView>
  </sheetViews>
  <sheetFormatPr defaultColWidth="9.109375" defaultRowHeight="18" x14ac:dyDescent="0.35"/>
  <cols>
    <col min="1" max="1" width="5.6640625" style="2" customWidth="1"/>
    <col min="2" max="2" width="35.44140625" style="2" customWidth="1"/>
    <col min="3" max="3" width="12.109375" style="2" customWidth="1"/>
    <col min="4" max="4" width="12" style="2" customWidth="1"/>
    <col min="5" max="5" width="11.109375" style="2" customWidth="1"/>
    <col min="6" max="6" width="10.6640625" style="2" customWidth="1"/>
    <col min="7" max="7" width="10.109375" style="2" customWidth="1"/>
    <col min="8" max="16384" width="9.109375" style="2"/>
  </cols>
  <sheetData>
    <row r="1" spans="1:7" x14ac:dyDescent="0.35">
      <c r="A1" s="3" t="s">
        <v>0</v>
      </c>
    </row>
    <row r="2" spans="1:7" x14ac:dyDescent="0.35">
      <c r="A2" s="3" t="s">
        <v>1</v>
      </c>
    </row>
    <row r="3" spans="1:7" x14ac:dyDescent="0.35">
      <c r="A3" s="58"/>
      <c r="B3" s="58"/>
      <c r="C3" s="58"/>
      <c r="D3" s="58"/>
    </row>
    <row r="4" spans="1:7" x14ac:dyDescent="0.35">
      <c r="A4" s="58" t="s">
        <v>181</v>
      </c>
      <c r="B4" s="58"/>
      <c r="C4" s="58"/>
      <c r="D4" s="58"/>
      <c r="E4" s="58"/>
      <c r="F4" s="58"/>
      <c r="G4" s="58"/>
    </row>
    <row r="5" spans="1:7" x14ac:dyDescent="0.35">
      <c r="A5" s="60" t="s">
        <v>182</v>
      </c>
      <c r="B5" s="60"/>
      <c r="C5" s="60"/>
      <c r="D5" s="60"/>
      <c r="E5" s="60"/>
      <c r="F5" s="60"/>
      <c r="G5" s="60"/>
    </row>
    <row r="6" spans="1:7" x14ac:dyDescent="0.35">
      <c r="D6" s="1"/>
      <c r="F6" s="1" t="s">
        <v>150</v>
      </c>
    </row>
    <row r="7" spans="1:7" s="4" customFormat="1" ht="42" customHeight="1" x14ac:dyDescent="0.3">
      <c r="A7" s="59" t="s">
        <v>2</v>
      </c>
      <c r="B7" s="59" t="s">
        <v>30</v>
      </c>
      <c r="C7" s="59" t="s">
        <v>31</v>
      </c>
      <c r="D7" s="59" t="s">
        <v>32</v>
      </c>
      <c r="E7" s="59" t="s">
        <v>151</v>
      </c>
      <c r="F7" s="59"/>
      <c r="G7" s="59"/>
    </row>
    <row r="8" spans="1:7" s="4" customFormat="1" ht="48" customHeight="1" x14ac:dyDescent="0.3">
      <c r="A8" s="59"/>
      <c r="B8" s="59"/>
      <c r="C8" s="59"/>
      <c r="D8" s="59"/>
      <c r="E8" s="16" t="s">
        <v>152</v>
      </c>
      <c r="F8" s="16" t="s">
        <v>153</v>
      </c>
      <c r="G8" s="16" t="s">
        <v>154</v>
      </c>
    </row>
    <row r="9" spans="1:7" s="19" customFormat="1" ht="13.8" x14ac:dyDescent="0.25">
      <c r="A9" s="8" t="s">
        <v>3</v>
      </c>
      <c r="B9" s="8" t="s">
        <v>155</v>
      </c>
      <c r="C9" s="17"/>
      <c r="D9" s="17"/>
      <c r="E9" s="17"/>
      <c r="F9" s="17"/>
      <c r="G9" s="17"/>
    </row>
    <row r="10" spans="1:7" s="19" customFormat="1" ht="13.8" x14ac:dyDescent="0.25">
      <c r="A10" s="8" t="s">
        <v>8</v>
      </c>
      <c r="B10" s="8" t="s">
        <v>10</v>
      </c>
      <c r="C10" s="17">
        <f>C11</f>
        <v>12223.133</v>
      </c>
      <c r="D10" s="17">
        <f>C10</f>
        <v>12223.133</v>
      </c>
      <c r="E10" s="17"/>
      <c r="F10" s="17"/>
      <c r="G10" s="17"/>
    </row>
    <row r="11" spans="1:7" s="19" customFormat="1" ht="13.8" x14ac:dyDescent="0.25">
      <c r="A11" s="8">
        <v>1</v>
      </c>
      <c r="B11" s="8" t="s">
        <v>157</v>
      </c>
      <c r="C11" s="17">
        <f>C12+C17</f>
        <v>12223.133</v>
      </c>
      <c r="D11" s="17">
        <f t="shared" ref="D11:D14" si="0">C11</f>
        <v>12223.133</v>
      </c>
      <c r="E11" s="17"/>
      <c r="F11" s="17"/>
      <c r="G11" s="17"/>
    </row>
    <row r="12" spans="1:7" s="19" customFormat="1" ht="13.8" x14ac:dyDescent="0.25">
      <c r="A12" s="8" t="s">
        <v>158</v>
      </c>
      <c r="B12" s="8" t="s">
        <v>156</v>
      </c>
      <c r="C12" s="17">
        <f>SUM(C13:C16)</f>
        <v>12214.834999999999</v>
      </c>
      <c r="D12" s="17">
        <f t="shared" si="0"/>
        <v>12214.834999999999</v>
      </c>
      <c r="E12" s="17"/>
      <c r="F12" s="17"/>
      <c r="G12" s="17"/>
    </row>
    <row r="13" spans="1:7" s="22" customFormat="1" ht="13.8" x14ac:dyDescent="0.25">
      <c r="A13" s="20" t="s">
        <v>4</v>
      </c>
      <c r="B13" s="20" t="s">
        <v>161</v>
      </c>
      <c r="C13" s="17">
        <f>6124.871+1214.841+1809.486</f>
        <v>9149.1980000000003</v>
      </c>
      <c r="D13" s="17">
        <f t="shared" si="0"/>
        <v>9149.1980000000003</v>
      </c>
      <c r="E13" s="21"/>
      <c r="F13" s="21"/>
      <c r="G13" s="21"/>
    </row>
    <row r="14" spans="1:7" s="22" customFormat="1" ht="13.8" x14ac:dyDescent="0.25">
      <c r="A14" s="20" t="s">
        <v>5</v>
      </c>
      <c r="B14" s="20" t="s">
        <v>162</v>
      </c>
      <c r="C14" s="17">
        <v>1267.8</v>
      </c>
      <c r="D14" s="17">
        <f t="shared" si="0"/>
        <v>1267.8</v>
      </c>
      <c r="E14" s="21"/>
      <c r="F14" s="21"/>
      <c r="G14" s="21"/>
    </row>
    <row r="15" spans="1:7" s="22" customFormat="1" ht="13.8" x14ac:dyDescent="0.25">
      <c r="A15" s="20" t="s">
        <v>22</v>
      </c>
      <c r="B15" s="20" t="s">
        <v>165</v>
      </c>
      <c r="C15" s="17">
        <v>979.51900000000001</v>
      </c>
      <c r="D15" s="17">
        <f t="shared" ref="D15:D50" si="1">C15</f>
        <v>979.51900000000001</v>
      </c>
      <c r="E15" s="21"/>
      <c r="F15" s="21"/>
      <c r="G15" s="21"/>
    </row>
    <row r="16" spans="1:7" s="22" customFormat="1" ht="13.8" x14ac:dyDescent="0.25">
      <c r="A16" s="20" t="s">
        <v>23</v>
      </c>
      <c r="B16" s="20" t="s">
        <v>143</v>
      </c>
      <c r="C16" s="17">
        <f>349.43+4.68+351.534+112.674</f>
        <v>818.31799999999998</v>
      </c>
      <c r="D16" s="17">
        <f t="shared" si="1"/>
        <v>818.31799999999998</v>
      </c>
      <c r="E16" s="21"/>
      <c r="F16" s="21"/>
      <c r="G16" s="21"/>
    </row>
    <row r="17" spans="1:7" s="19" customFormat="1" ht="13.8" x14ac:dyDescent="0.25">
      <c r="A17" s="8" t="s">
        <v>159</v>
      </c>
      <c r="B17" s="8" t="s">
        <v>160</v>
      </c>
      <c r="C17" s="17">
        <f>SUM(C18:C19)</f>
        <v>8.298</v>
      </c>
      <c r="D17" s="17">
        <f t="shared" si="1"/>
        <v>8.298</v>
      </c>
      <c r="E17" s="17"/>
      <c r="F17" s="17"/>
      <c r="G17" s="17"/>
    </row>
    <row r="18" spans="1:7" s="22" customFormat="1" ht="13.8" x14ac:dyDescent="0.25">
      <c r="A18" s="20"/>
      <c r="B18" s="20" t="s">
        <v>163</v>
      </c>
      <c r="C18" s="17">
        <v>0.59799999999999998</v>
      </c>
      <c r="D18" s="17">
        <f t="shared" si="1"/>
        <v>0.59799999999999998</v>
      </c>
      <c r="E18" s="21"/>
      <c r="F18" s="21"/>
      <c r="G18" s="21"/>
    </row>
    <row r="19" spans="1:7" s="22" customFormat="1" ht="13.8" x14ac:dyDescent="0.25">
      <c r="A19" s="20"/>
      <c r="B19" s="20" t="s">
        <v>164</v>
      </c>
      <c r="C19" s="17">
        <v>7.7</v>
      </c>
      <c r="D19" s="17">
        <f t="shared" si="1"/>
        <v>7.7</v>
      </c>
      <c r="E19" s="21"/>
      <c r="F19" s="21"/>
      <c r="G19" s="21"/>
    </row>
    <row r="20" spans="1:7" s="22" customFormat="1" ht="13.8" x14ac:dyDescent="0.25">
      <c r="A20" s="8">
        <v>2</v>
      </c>
      <c r="B20" s="8" t="s">
        <v>13</v>
      </c>
      <c r="C20" s="17"/>
      <c r="D20" s="17">
        <f t="shared" si="1"/>
        <v>0</v>
      </c>
      <c r="E20" s="21"/>
      <c r="F20" s="21"/>
      <c r="G20" s="21"/>
    </row>
    <row r="21" spans="1:7" s="22" customFormat="1" ht="13.8" x14ac:dyDescent="0.25">
      <c r="A21" s="8">
        <v>3</v>
      </c>
      <c r="B21" s="8" t="s">
        <v>16</v>
      </c>
      <c r="C21" s="17"/>
      <c r="D21" s="17">
        <f t="shared" si="1"/>
        <v>0</v>
      </c>
      <c r="E21" s="21"/>
      <c r="F21" s="21"/>
      <c r="G21" s="21"/>
    </row>
    <row r="22" spans="1:7" s="19" customFormat="1" ht="13.8" x14ac:dyDescent="0.25">
      <c r="A22" s="8" t="s">
        <v>25</v>
      </c>
      <c r="B22" s="8" t="s">
        <v>175</v>
      </c>
      <c r="C22" s="17">
        <f>C23</f>
        <v>8670.9613920000011</v>
      </c>
      <c r="D22" s="17">
        <f t="shared" si="1"/>
        <v>8670.9613920000011</v>
      </c>
      <c r="E22" s="17">
        <f>E23+E27</f>
        <v>1032.2413759999999</v>
      </c>
      <c r="F22" s="17"/>
      <c r="G22" s="17">
        <f>+G23+G27</f>
        <v>3554.010483</v>
      </c>
    </row>
    <row r="23" spans="1:7" s="19" customFormat="1" ht="13.8" x14ac:dyDescent="0.25">
      <c r="A23" s="8">
        <v>1</v>
      </c>
      <c r="B23" s="8" t="s">
        <v>166</v>
      </c>
      <c r="C23" s="17">
        <f>C24+C27</f>
        <v>8670.9613920000011</v>
      </c>
      <c r="D23" s="17">
        <f t="shared" si="1"/>
        <v>8670.9613920000011</v>
      </c>
      <c r="E23" s="17">
        <f>E24+E27</f>
        <v>1029.680376</v>
      </c>
      <c r="F23" s="17"/>
      <c r="G23" s="17">
        <f>G24+G27</f>
        <v>3549.439746</v>
      </c>
    </row>
    <row r="24" spans="1:7" s="19" customFormat="1" ht="13.8" x14ac:dyDescent="0.25">
      <c r="A24" s="8" t="s">
        <v>158</v>
      </c>
      <c r="B24" s="8" t="s">
        <v>167</v>
      </c>
      <c r="C24" s="17">
        <f>C25</f>
        <v>7703.1067150000008</v>
      </c>
      <c r="D24" s="17">
        <f t="shared" si="1"/>
        <v>7703.1067150000008</v>
      </c>
      <c r="E24" s="17">
        <f>E25</f>
        <v>1027.1193760000001</v>
      </c>
      <c r="F24" s="17"/>
      <c r="G24" s="17">
        <f>G25</f>
        <v>3544.869009</v>
      </c>
    </row>
    <row r="25" spans="1:7" s="22" customFormat="1" ht="13.8" x14ac:dyDescent="0.25">
      <c r="A25" s="20" t="s">
        <v>4</v>
      </c>
      <c r="B25" s="20" t="s">
        <v>168</v>
      </c>
      <c r="C25" s="17">
        <f>4894.414715+609.542+1392.056+807.094</f>
        <v>7703.1067150000008</v>
      </c>
      <c r="D25" s="17">
        <f t="shared" si="1"/>
        <v>7703.1067150000008</v>
      </c>
      <c r="E25" s="21">
        <f>34.84246+2.12646+105.093016+18.36544+19.602+96.181+16.317+403.32+256.805+74.467</f>
        <v>1027.1193760000001</v>
      </c>
      <c r="F25" s="21"/>
      <c r="G25" s="21">
        <f>3656.507-107.067991-4.57</f>
        <v>3544.869009</v>
      </c>
    </row>
    <row r="26" spans="1:7" s="22" customFormat="1" ht="13.8" x14ac:dyDescent="0.25">
      <c r="A26" s="20" t="s">
        <v>5</v>
      </c>
      <c r="B26" s="20" t="s">
        <v>169</v>
      </c>
      <c r="C26" s="17"/>
      <c r="D26" s="17">
        <f t="shared" si="1"/>
        <v>0</v>
      </c>
      <c r="E26" s="21"/>
      <c r="F26" s="21"/>
      <c r="G26" s="21"/>
    </row>
    <row r="27" spans="1:7" s="19" customFormat="1" ht="13.8" x14ac:dyDescent="0.25">
      <c r="A27" s="8" t="s">
        <v>159</v>
      </c>
      <c r="B27" s="8" t="s">
        <v>170</v>
      </c>
      <c r="C27" s="17">
        <f>C28</f>
        <v>967.85467700000004</v>
      </c>
      <c r="D27" s="17">
        <f t="shared" si="1"/>
        <v>967.85467700000004</v>
      </c>
      <c r="E27" s="17">
        <f>E28</f>
        <v>2.5609999999999999</v>
      </c>
      <c r="F27" s="17"/>
      <c r="G27" s="17">
        <f>G28</f>
        <v>4.5707370000000003</v>
      </c>
    </row>
    <row r="28" spans="1:7" s="22" customFormat="1" ht="13.8" x14ac:dyDescent="0.25">
      <c r="A28" s="20" t="s">
        <v>24</v>
      </c>
      <c r="B28" s="20" t="s">
        <v>171</v>
      </c>
      <c r="C28" s="17">
        <v>967.85467700000004</v>
      </c>
      <c r="D28" s="17">
        <f t="shared" si="1"/>
        <v>967.85467700000004</v>
      </c>
      <c r="E28" s="21">
        <v>2.5609999999999999</v>
      </c>
      <c r="F28" s="21"/>
      <c r="G28" s="21">
        <v>4.5707370000000003</v>
      </c>
    </row>
    <row r="29" spans="1:7" s="22" customFormat="1" ht="13.8" x14ac:dyDescent="0.25">
      <c r="A29" s="20" t="s">
        <v>146</v>
      </c>
      <c r="B29" s="20" t="s">
        <v>172</v>
      </c>
      <c r="C29" s="17"/>
      <c r="D29" s="17">
        <f t="shared" si="1"/>
        <v>0</v>
      </c>
      <c r="E29" s="21"/>
      <c r="F29" s="21"/>
      <c r="G29" s="21"/>
    </row>
    <row r="30" spans="1:7" s="19" customFormat="1" ht="13.8" x14ac:dyDescent="0.25">
      <c r="A30" s="8">
        <v>2</v>
      </c>
      <c r="B30" s="8" t="s">
        <v>13</v>
      </c>
      <c r="C30" s="17"/>
      <c r="D30" s="17">
        <f t="shared" si="1"/>
        <v>0</v>
      </c>
      <c r="E30" s="17"/>
      <c r="F30" s="17"/>
      <c r="G30" s="17"/>
    </row>
    <row r="31" spans="1:7" s="19" customFormat="1" ht="13.8" x14ac:dyDescent="0.25">
      <c r="A31" s="8">
        <v>3</v>
      </c>
      <c r="B31" s="8" t="s">
        <v>16</v>
      </c>
      <c r="C31" s="17"/>
      <c r="D31" s="17">
        <f t="shared" si="1"/>
        <v>0</v>
      </c>
      <c r="E31" s="17"/>
      <c r="F31" s="17"/>
      <c r="G31" s="17"/>
    </row>
    <row r="32" spans="1:7" s="19" customFormat="1" ht="13.8" x14ac:dyDescent="0.25">
      <c r="A32" s="8" t="s">
        <v>173</v>
      </c>
      <c r="B32" s="8" t="s">
        <v>11</v>
      </c>
      <c r="C32" s="17">
        <f>C33</f>
        <v>198.46799999999999</v>
      </c>
      <c r="D32" s="17">
        <f t="shared" si="1"/>
        <v>198.46799999999999</v>
      </c>
      <c r="E32" s="17"/>
      <c r="F32" s="17"/>
      <c r="G32" s="17"/>
    </row>
    <row r="33" spans="1:7" s="22" customFormat="1" ht="13.8" x14ac:dyDescent="0.25">
      <c r="A33" s="8">
        <v>1</v>
      </c>
      <c r="B33" s="8" t="s">
        <v>174</v>
      </c>
      <c r="C33" s="17">
        <f>C34+C39</f>
        <v>198.46799999999999</v>
      </c>
      <c r="D33" s="17">
        <f t="shared" si="1"/>
        <v>198.46799999999999</v>
      </c>
      <c r="E33" s="21"/>
      <c r="F33" s="21"/>
      <c r="G33" s="21"/>
    </row>
    <row r="34" spans="1:7" s="22" customFormat="1" ht="13.8" x14ac:dyDescent="0.25">
      <c r="A34" s="8" t="s">
        <v>158</v>
      </c>
      <c r="B34" s="8" t="s">
        <v>176</v>
      </c>
      <c r="C34" s="17">
        <f>C36</f>
        <v>190.17</v>
      </c>
      <c r="D34" s="17">
        <f t="shared" si="1"/>
        <v>190.17</v>
      </c>
      <c r="E34" s="21"/>
      <c r="F34" s="21"/>
      <c r="G34" s="21"/>
    </row>
    <row r="35" spans="1:7" s="22" customFormat="1" ht="13.8" x14ac:dyDescent="0.25">
      <c r="A35" s="20" t="s">
        <v>4</v>
      </c>
      <c r="B35" s="20" t="s">
        <v>161</v>
      </c>
      <c r="C35" s="17">
        <f>1531.21775+484.064+452.3715</f>
        <v>2467.6532500000003</v>
      </c>
      <c r="D35" s="17">
        <f t="shared" si="1"/>
        <v>2467.6532500000003</v>
      </c>
      <c r="E35" s="21"/>
      <c r="F35" s="21"/>
      <c r="G35" s="21"/>
    </row>
    <row r="36" spans="1:7" s="19" customFormat="1" ht="13.8" x14ac:dyDescent="0.25">
      <c r="A36" s="20" t="s">
        <v>5</v>
      </c>
      <c r="B36" s="20" t="s">
        <v>162</v>
      </c>
      <c r="C36" s="17">
        <v>190.17</v>
      </c>
      <c r="D36" s="17">
        <f t="shared" si="1"/>
        <v>190.17</v>
      </c>
      <c r="E36" s="17"/>
      <c r="F36" s="17"/>
      <c r="G36" s="17"/>
    </row>
    <row r="37" spans="1:7" s="19" customFormat="1" ht="13.8" x14ac:dyDescent="0.25">
      <c r="A37" s="20" t="s">
        <v>22</v>
      </c>
      <c r="B37" s="20" t="s">
        <v>165</v>
      </c>
      <c r="C37" s="17">
        <v>144.04911999999999</v>
      </c>
      <c r="D37" s="17">
        <f t="shared" si="1"/>
        <v>144.04911999999999</v>
      </c>
      <c r="E37" s="17"/>
      <c r="F37" s="17"/>
      <c r="G37" s="17"/>
    </row>
    <row r="38" spans="1:7" s="19" customFormat="1" ht="13.8" x14ac:dyDescent="0.25">
      <c r="A38" s="20" t="s">
        <v>23</v>
      </c>
      <c r="B38" s="20" t="s">
        <v>143</v>
      </c>
      <c r="C38" s="17">
        <f>48.668535+1.43+49.719</f>
        <v>99.817534999999992</v>
      </c>
      <c r="D38" s="17">
        <f t="shared" si="1"/>
        <v>99.817534999999992</v>
      </c>
      <c r="E38" s="17"/>
      <c r="F38" s="17"/>
      <c r="G38" s="17"/>
    </row>
    <row r="39" spans="1:7" s="19" customFormat="1" ht="13.8" x14ac:dyDescent="0.25">
      <c r="A39" s="8" t="s">
        <v>159</v>
      </c>
      <c r="B39" s="8" t="s">
        <v>160</v>
      </c>
      <c r="C39" s="17">
        <f>C40+C41</f>
        <v>8.298</v>
      </c>
      <c r="D39" s="17">
        <f t="shared" si="1"/>
        <v>8.298</v>
      </c>
      <c r="E39" s="17"/>
      <c r="F39" s="17"/>
      <c r="G39" s="17"/>
    </row>
    <row r="40" spans="1:7" s="19" customFormat="1" ht="13.8" x14ac:dyDescent="0.25">
      <c r="A40" s="20" t="s">
        <v>4</v>
      </c>
      <c r="B40" s="20" t="s">
        <v>163</v>
      </c>
      <c r="C40" s="17">
        <v>0.59799999999999998</v>
      </c>
      <c r="D40" s="17">
        <f t="shared" si="1"/>
        <v>0.59799999999999998</v>
      </c>
      <c r="E40" s="17"/>
      <c r="F40" s="17"/>
      <c r="G40" s="17"/>
    </row>
    <row r="41" spans="1:7" s="19" customFormat="1" ht="13.8" x14ac:dyDescent="0.25">
      <c r="A41" s="20" t="s">
        <v>5</v>
      </c>
      <c r="B41" s="20" t="s">
        <v>164</v>
      </c>
      <c r="C41" s="17">
        <v>7.7</v>
      </c>
      <c r="D41" s="17">
        <f t="shared" si="1"/>
        <v>7.7</v>
      </c>
      <c r="E41" s="17"/>
      <c r="F41" s="17"/>
      <c r="G41" s="17"/>
    </row>
    <row r="42" spans="1:7" s="22" customFormat="1" ht="13.8" x14ac:dyDescent="0.25">
      <c r="A42" s="8">
        <v>2</v>
      </c>
      <c r="B42" s="8" t="s">
        <v>13</v>
      </c>
      <c r="C42" s="17"/>
      <c r="D42" s="17">
        <f t="shared" si="1"/>
        <v>0</v>
      </c>
      <c r="E42" s="21"/>
      <c r="F42" s="21"/>
      <c r="G42" s="21"/>
    </row>
    <row r="43" spans="1:7" s="22" customFormat="1" ht="13.8" x14ac:dyDescent="0.25">
      <c r="A43" s="8">
        <v>3</v>
      </c>
      <c r="B43" s="8" t="s">
        <v>16</v>
      </c>
      <c r="C43" s="17"/>
      <c r="D43" s="17">
        <f t="shared" si="1"/>
        <v>0</v>
      </c>
      <c r="E43" s="21"/>
      <c r="F43" s="21"/>
      <c r="G43" s="21"/>
    </row>
    <row r="44" spans="1:7" s="19" customFormat="1" ht="13.8" x14ac:dyDescent="0.25">
      <c r="A44" s="8" t="s">
        <v>6</v>
      </c>
      <c r="B44" s="8" t="s">
        <v>33</v>
      </c>
      <c r="C44" s="17">
        <f>C45+C48</f>
        <v>13444.277</v>
      </c>
      <c r="D44" s="17">
        <f t="shared" si="1"/>
        <v>13444.277</v>
      </c>
      <c r="E44" s="17">
        <f>E45+E48</f>
        <v>4553.3174820000004</v>
      </c>
      <c r="F44" s="17">
        <f>F45+F48</f>
        <v>657.07500000000005</v>
      </c>
      <c r="G44" s="17">
        <f>G45+G48</f>
        <v>107.06699999999999</v>
      </c>
    </row>
    <row r="45" spans="1:7" s="19" customFormat="1" ht="13.8" x14ac:dyDescent="0.25">
      <c r="A45" s="8">
        <v>1</v>
      </c>
      <c r="B45" s="23" t="s">
        <v>170</v>
      </c>
      <c r="C45" s="24">
        <f>C46+C47</f>
        <v>7115.1149999999998</v>
      </c>
      <c r="D45" s="17">
        <f t="shared" si="1"/>
        <v>7115.1149999999998</v>
      </c>
      <c r="E45" s="17">
        <f>E46</f>
        <v>2437.1610000000001</v>
      </c>
      <c r="F45" s="17">
        <f>F46+F47</f>
        <v>627.22500000000002</v>
      </c>
      <c r="G45" s="17">
        <f>G46+G47</f>
        <v>107.06699999999999</v>
      </c>
    </row>
    <row r="46" spans="1:7" s="22" customFormat="1" ht="13.8" x14ac:dyDescent="0.25">
      <c r="A46" s="20" t="s">
        <v>158</v>
      </c>
      <c r="B46" s="25" t="s">
        <v>171</v>
      </c>
      <c r="C46" s="26">
        <f>4013.546</f>
        <v>4013.5459999999998</v>
      </c>
      <c r="D46" s="17">
        <f t="shared" si="1"/>
        <v>4013.5459999999998</v>
      </c>
      <c r="E46" s="21">
        <f>1791.353+61.058+584.75</f>
        <v>2437.1610000000001</v>
      </c>
      <c r="F46" s="21">
        <v>25.125</v>
      </c>
      <c r="G46" s="21">
        <v>107.06699999999999</v>
      </c>
    </row>
    <row r="47" spans="1:7" s="22" customFormat="1" ht="13.8" x14ac:dyDescent="0.25">
      <c r="A47" s="20" t="s">
        <v>159</v>
      </c>
      <c r="B47" s="25" t="s">
        <v>172</v>
      </c>
      <c r="C47" s="26">
        <v>3101.569</v>
      </c>
      <c r="D47" s="17">
        <f t="shared" si="1"/>
        <v>3101.569</v>
      </c>
      <c r="E47" s="21"/>
      <c r="F47" s="21">
        <v>602.1</v>
      </c>
      <c r="G47" s="21"/>
    </row>
    <row r="48" spans="1:7" s="19" customFormat="1" ht="13.8" x14ac:dyDescent="0.25">
      <c r="A48" s="8">
        <v>2</v>
      </c>
      <c r="B48" s="23" t="s">
        <v>167</v>
      </c>
      <c r="C48" s="24">
        <f>C49+C50</f>
        <v>6329.1620000000003</v>
      </c>
      <c r="D48" s="17">
        <f t="shared" si="1"/>
        <v>6329.1620000000003</v>
      </c>
      <c r="E48" s="17">
        <f>E49</f>
        <v>2116.1564819999999</v>
      </c>
      <c r="F48" s="17">
        <f>F50</f>
        <v>29.85</v>
      </c>
      <c r="G48" s="17"/>
    </row>
    <row r="49" spans="1:7" s="22" customFormat="1" ht="13.8" x14ac:dyDescent="0.25">
      <c r="A49" s="20" t="s">
        <v>177</v>
      </c>
      <c r="B49" s="25" t="s">
        <v>168</v>
      </c>
      <c r="C49" s="26">
        <f>296.076+436.926+433+2652.968</f>
        <v>3818.97</v>
      </c>
      <c r="D49" s="17">
        <f t="shared" si="1"/>
        <v>3818.97</v>
      </c>
      <c r="E49" s="21">
        <f>130.61+22.181+52.913+37.851+13.813572+268.438+20.69991+1175.613+14.311+379.726</f>
        <v>2116.1564819999999</v>
      </c>
      <c r="F49" s="21"/>
      <c r="G49" s="21"/>
    </row>
    <row r="50" spans="1:7" s="22" customFormat="1" ht="13.8" x14ac:dyDescent="0.25">
      <c r="A50" s="20" t="s">
        <v>178</v>
      </c>
      <c r="B50" s="25" t="s">
        <v>169</v>
      </c>
      <c r="C50" s="26">
        <v>2510.192</v>
      </c>
      <c r="D50" s="17">
        <f t="shared" si="1"/>
        <v>2510.192</v>
      </c>
      <c r="E50" s="21"/>
      <c r="F50" s="21">
        <v>29.85</v>
      </c>
      <c r="G50" s="21"/>
    </row>
    <row r="51" spans="1:7" s="1" customFormat="1" ht="15.6" x14ac:dyDescent="0.3">
      <c r="C51" s="18"/>
      <c r="D51" s="18"/>
      <c r="E51" s="18"/>
      <c r="F51" s="18"/>
      <c r="G51" s="18"/>
    </row>
    <row r="52" spans="1:7" s="1" customFormat="1" ht="15.6" x14ac:dyDescent="0.3">
      <c r="D52" s="15" t="s">
        <v>179</v>
      </c>
    </row>
    <row r="53" spans="1:7" s="1" customFormat="1" ht="15.6" x14ac:dyDescent="0.3">
      <c r="D53" s="5" t="s">
        <v>180</v>
      </c>
    </row>
    <row r="54" spans="1:7" s="1" customFormat="1" ht="15.6" x14ac:dyDescent="0.3"/>
  </sheetData>
  <mergeCells count="8">
    <mergeCell ref="E7:G7"/>
    <mergeCell ref="A3:D3"/>
    <mergeCell ref="A7:A8"/>
    <mergeCell ref="B7:B8"/>
    <mergeCell ref="C7:C8"/>
    <mergeCell ref="D7:D8"/>
    <mergeCell ref="A4:G4"/>
    <mergeCell ref="A5:G5"/>
  </mergeCells>
  <pageMargins left="0.33" right="0.28999999999999998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37" zoomScale="130" zoomScaleNormal="130" workbookViewId="0">
      <selection activeCell="E48" sqref="E48"/>
    </sheetView>
  </sheetViews>
  <sheetFormatPr defaultColWidth="9.109375" defaultRowHeight="18" x14ac:dyDescent="0.35"/>
  <cols>
    <col min="1" max="1" width="5.6640625" style="2" customWidth="1"/>
    <col min="2" max="2" width="36.6640625" style="2" customWidth="1"/>
    <col min="3" max="3" width="12.109375" style="2" customWidth="1"/>
    <col min="4" max="4" width="12" style="2" customWidth="1"/>
    <col min="5" max="5" width="9.44140625" style="2" customWidth="1"/>
    <col min="6" max="6" width="11.109375" style="2" customWidth="1"/>
    <col min="7" max="7" width="10.6640625" style="2" customWidth="1"/>
    <col min="8" max="8" width="10.109375" style="2" customWidth="1"/>
    <col min="9" max="9" width="10.6640625" style="2" customWidth="1"/>
    <col min="10" max="10" width="10.44140625" style="2" customWidth="1"/>
    <col min="11" max="11" width="10.109375" style="2" customWidth="1"/>
    <col min="12" max="16384" width="9.109375" style="2"/>
  </cols>
  <sheetData>
    <row r="1" spans="1:11" x14ac:dyDescent="0.35">
      <c r="A1" s="3" t="s">
        <v>0</v>
      </c>
    </row>
    <row r="2" spans="1:11" x14ac:dyDescent="0.35">
      <c r="A2" s="3" t="s">
        <v>1</v>
      </c>
    </row>
    <row r="3" spans="1:11" ht="13.5" customHeight="1" x14ac:dyDescent="0.35">
      <c r="A3" s="58"/>
      <c r="B3" s="58"/>
      <c r="C3" s="58"/>
      <c r="D3" s="58"/>
      <c r="E3" s="27"/>
    </row>
    <row r="4" spans="1:11" x14ac:dyDescent="0.35">
      <c r="A4" s="58" t="s">
        <v>208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x14ac:dyDescent="0.35">
      <c r="A5" s="60" t="s">
        <v>210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1.25" customHeight="1" x14ac:dyDescent="0.3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x14ac:dyDescent="0.35">
      <c r="D7" s="1"/>
      <c r="E7" s="1"/>
      <c r="G7" s="1"/>
      <c r="J7" s="1" t="s">
        <v>150</v>
      </c>
    </row>
    <row r="8" spans="1:11" s="4" customFormat="1" ht="42" customHeight="1" x14ac:dyDescent="0.3">
      <c r="A8" s="59" t="s">
        <v>2</v>
      </c>
      <c r="B8" s="59" t="s">
        <v>30</v>
      </c>
      <c r="C8" s="59" t="s">
        <v>192</v>
      </c>
      <c r="D8" s="59" t="s">
        <v>183</v>
      </c>
      <c r="E8" s="59" t="s">
        <v>184</v>
      </c>
      <c r="F8" s="59" t="s">
        <v>185</v>
      </c>
      <c r="G8" s="59"/>
      <c r="H8" s="59"/>
      <c r="I8" s="59"/>
      <c r="J8" s="59"/>
      <c r="K8" s="59"/>
    </row>
    <row r="9" spans="1:11" s="4" customFormat="1" ht="75.75" customHeight="1" x14ac:dyDescent="0.3">
      <c r="A9" s="59"/>
      <c r="B9" s="59"/>
      <c r="C9" s="59"/>
      <c r="D9" s="59"/>
      <c r="E9" s="59"/>
      <c r="F9" s="28" t="s">
        <v>186</v>
      </c>
      <c r="G9" s="28" t="s">
        <v>187</v>
      </c>
      <c r="H9" s="28" t="s">
        <v>190</v>
      </c>
      <c r="I9" s="28" t="s">
        <v>191</v>
      </c>
      <c r="J9" s="28" t="s">
        <v>188</v>
      </c>
      <c r="K9" s="28" t="s">
        <v>189</v>
      </c>
    </row>
    <row r="10" spans="1:11" s="34" customFormat="1" ht="27.6" x14ac:dyDescent="0.3">
      <c r="A10" s="28" t="s">
        <v>8</v>
      </c>
      <c r="B10" s="32" t="s">
        <v>194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1:11" s="19" customFormat="1" ht="13.8" x14ac:dyDescent="0.25">
      <c r="A11" s="45" t="s">
        <v>3</v>
      </c>
      <c r="B11" s="8" t="s">
        <v>157</v>
      </c>
      <c r="C11" s="17">
        <f t="shared" ref="C11:C16" si="0">SUM(F11:K11)</f>
        <v>12652.354524</v>
      </c>
      <c r="D11" s="17">
        <f>C11</f>
        <v>12652.354524</v>
      </c>
      <c r="E11" s="9">
        <f>E12+E15</f>
        <v>0</v>
      </c>
      <c r="F11" s="37">
        <f>F12+F15</f>
        <v>2759.538</v>
      </c>
      <c r="G11" s="17">
        <f t="shared" ref="G11:K11" si="1">G12+G15</f>
        <v>3695.8670000000002</v>
      </c>
      <c r="H11" s="17">
        <f t="shared" si="1"/>
        <v>2364.346</v>
      </c>
      <c r="I11" s="17">
        <f t="shared" si="1"/>
        <v>1975.723</v>
      </c>
      <c r="J11" s="17">
        <f t="shared" si="1"/>
        <v>1856.8805239999999</v>
      </c>
      <c r="K11" s="17">
        <f t="shared" si="1"/>
        <v>0</v>
      </c>
    </row>
    <row r="12" spans="1:11" s="19" customFormat="1" ht="13.8" x14ac:dyDescent="0.25">
      <c r="A12" s="45">
        <v>1</v>
      </c>
      <c r="B12" s="8" t="s">
        <v>160</v>
      </c>
      <c r="C12" s="17">
        <f t="shared" si="0"/>
        <v>1.5</v>
      </c>
      <c r="D12" s="17">
        <f t="shared" ref="D12:D51" si="2">C12</f>
        <v>1.5</v>
      </c>
      <c r="E12" s="9"/>
      <c r="F12" s="17">
        <f>SUM(F13:F14)</f>
        <v>1.5</v>
      </c>
      <c r="G12" s="9"/>
      <c r="H12" s="9"/>
      <c r="I12" s="8"/>
      <c r="J12" s="8"/>
      <c r="K12" s="8"/>
    </row>
    <row r="13" spans="1:11" s="22" customFormat="1" ht="13.8" x14ac:dyDescent="0.25">
      <c r="A13" s="46" t="s">
        <v>158</v>
      </c>
      <c r="B13" s="30" t="s">
        <v>164</v>
      </c>
      <c r="C13" s="21">
        <f t="shared" si="0"/>
        <v>1.1000000000000001</v>
      </c>
      <c r="D13" s="21">
        <f>C13</f>
        <v>1.1000000000000001</v>
      </c>
      <c r="E13" s="31"/>
      <c r="F13" s="36">
        <v>1.1000000000000001</v>
      </c>
      <c r="G13" s="31"/>
      <c r="H13" s="31"/>
      <c r="I13" s="20"/>
      <c r="J13" s="20"/>
      <c r="K13" s="20"/>
    </row>
    <row r="14" spans="1:11" s="22" customFormat="1" ht="13.8" x14ac:dyDescent="0.25">
      <c r="A14" s="46" t="s">
        <v>159</v>
      </c>
      <c r="B14" s="30" t="s">
        <v>196</v>
      </c>
      <c r="C14" s="21">
        <f t="shared" si="0"/>
        <v>0.4</v>
      </c>
      <c r="D14" s="21">
        <f>C14</f>
        <v>0.4</v>
      </c>
      <c r="E14" s="31"/>
      <c r="F14" s="36">
        <v>0.4</v>
      </c>
      <c r="G14" s="31"/>
      <c r="H14" s="31"/>
      <c r="I14" s="20"/>
      <c r="J14" s="20"/>
      <c r="K14" s="20"/>
    </row>
    <row r="15" spans="1:11" s="19" customFormat="1" ht="13.8" x14ac:dyDescent="0.25">
      <c r="A15" s="45">
        <v>2</v>
      </c>
      <c r="B15" s="8" t="s">
        <v>176</v>
      </c>
      <c r="C15" s="17">
        <f t="shared" si="0"/>
        <v>12650.854524</v>
      </c>
      <c r="D15" s="17">
        <f>C15</f>
        <v>12650.854524</v>
      </c>
      <c r="E15" s="9">
        <f>SUM(E16:E18)</f>
        <v>0</v>
      </c>
      <c r="F15" s="17">
        <f>SUM(F16:F22)</f>
        <v>2758.038</v>
      </c>
      <c r="G15" s="17">
        <f>SUM(G16:G22)</f>
        <v>3695.8670000000002</v>
      </c>
      <c r="H15" s="17">
        <f t="shared" ref="H15:K15" si="3">SUM(H16:H22)</f>
        <v>2364.346</v>
      </c>
      <c r="I15" s="17">
        <f t="shared" si="3"/>
        <v>1975.723</v>
      </c>
      <c r="J15" s="17">
        <f t="shared" si="3"/>
        <v>1856.8805239999999</v>
      </c>
      <c r="K15" s="17">
        <f t="shared" si="3"/>
        <v>0</v>
      </c>
    </row>
    <row r="16" spans="1:11" s="22" customFormat="1" ht="13.8" x14ac:dyDescent="0.25">
      <c r="A16" s="46" t="s">
        <v>177</v>
      </c>
      <c r="B16" s="30" t="s">
        <v>162</v>
      </c>
      <c r="C16" s="21">
        <f t="shared" si="0"/>
        <v>2718.5</v>
      </c>
      <c r="D16" s="21">
        <f>C16</f>
        <v>2718.5</v>
      </c>
      <c r="E16" s="31"/>
      <c r="F16" s="61">
        <v>2718.5</v>
      </c>
      <c r="G16" s="31"/>
      <c r="H16" s="31"/>
      <c r="I16" s="20"/>
      <c r="J16" s="20"/>
      <c r="K16" s="20"/>
    </row>
    <row r="17" spans="1:11" s="22" customFormat="1" ht="13.8" x14ac:dyDescent="0.25">
      <c r="A17" s="46" t="s">
        <v>178</v>
      </c>
      <c r="B17" s="30" t="s">
        <v>197</v>
      </c>
      <c r="C17" s="21">
        <f t="shared" ref="C17:C22" si="4">SUM(F17:K17)</f>
        <v>0.36799999999999999</v>
      </c>
      <c r="D17" s="21">
        <f t="shared" ref="D17:D22" si="5">C17</f>
        <v>0.36799999999999999</v>
      </c>
      <c r="E17" s="31"/>
      <c r="F17" s="35">
        <v>0.36799999999999999</v>
      </c>
      <c r="G17" s="31"/>
      <c r="H17" s="31"/>
      <c r="I17" s="20"/>
      <c r="J17" s="20"/>
      <c r="K17" s="20"/>
    </row>
    <row r="18" spans="1:11" s="43" customFormat="1" ht="27.6" x14ac:dyDescent="0.25">
      <c r="A18" s="47" t="s">
        <v>201</v>
      </c>
      <c r="B18" s="40" t="s">
        <v>198</v>
      </c>
      <c r="C18" s="21">
        <f t="shared" si="4"/>
        <v>7.5</v>
      </c>
      <c r="D18" s="21">
        <f t="shared" si="5"/>
        <v>7.5</v>
      </c>
      <c r="E18" s="41"/>
      <c r="F18" s="42">
        <v>7.5</v>
      </c>
      <c r="G18" s="41"/>
      <c r="H18" s="41"/>
      <c r="I18" s="39"/>
      <c r="J18" s="39"/>
      <c r="K18" s="39"/>
    </row>
    <row r="19" spans="1:11" s="43" customFormat="1" ht="13.8" x14ac:dyDescent="0.25">
      <c r="A19" s="47" t="s">
        <v>202</v>
      </c>
      <c r="B19" s="40" t="s">
        <v>199</v>
      </c>
      <c r="C19" s="21">
        <f t="shared" si="4"/>
        <v>1.5</v>
      </c>
      <c r="D19" s="21">
        <f t="shared" si="5"/>
        <v>1.5</v>
      </c>
      <c r="E19" s="41"/>
      <c r="F19" s="42">
        <v>1.5</v>
      </c>
      <c r="G19" s="41"/>
      <c r="H19" s="41"/>
      <c r="I19" s="39"/>
      <c r="J19" s="39"/>
      <c r="K19" s="39"/>
    </row>
    <row r="20" spans="1:11" s="43" customFormat="1" ht="13.8" x14ac:dyDescent="0.25">
      <c r="A20" s="47" t="s">
        <v>203</v>
      </c>
      <c r="B20" s="40" t="s">
        <v>200</v>
      </c>
      <c r="C20" s="21">
        <f t="shared" si="4"/>
        <v>0</v>
      </c>
      <c r="D20" s="21">
        <f t="shared" si="5"/>
        <v>0</v>
      </c>
      <c r="E20" s="41"/>
      <c r="F20" s="42"/>
      <c r="G20" s="41"/>
      <c r="H20" s="41"/>
      <c r="I20" s="39"/>
      <c r="J20" s="39"/>
      <c r="K20" s="39"/>
    </row>
    <row r="21" spans="1:11" s="22" customFormat="1" ht="13.8" x14ac:dyDescent="0.25">
      <c r="A21" s="46" t="s">
        <v>204</v>
      </c>
      <c r="B21" s="30" t="s">
        <v>161</v>
      </c>
      <c r="C21" s="21">
        <f t="shared" si="4"/>
        <v>7523.6750000000002</v>
      </c>
      <c r="D21" s="21">
        <f t="shared" si="5"/>
        <v>7523.6750000000002</v>
      </c>
      <c r="E21" s="31"/>
      <c r="F21" s="21"/>
      <c r="G21" s="57">
        <v>3594.6970000000001</v>
      </c>
      <c r="H21" s="21">
        <v>2023.075</v>
      </c>
      <c r="I21" s="21">
        <v>1905.903</v>
      </c>
      <c r="J21" s="20"/>
      <c r="K21" s="20"/>
    </row>
    <row r="22" spans="1:11" s="22" customFormat="1" ht="13.8" x14ac:dyDescent="0.25">
      <c r="A22" s="46" t="s">
        <v>205</v>
      </c>
      <c r="B22" s="30" t="s">
        <v>143</v>
      </c>
      <c r="C22" s="21">
        <f t="shared" si="4"/>
        <v>2399.3115239999997</v>
      </c>
      <c r="D22" s="21">
        <f t="shared" si="5"/>
        <v>2399.3115239999997</v>
      </c>
      <c r="E22" s="31"/>
      <c r="F22" s="21">
        <v>30.17</v>
      </c>
      <c r="G22" s="21">
        <v>101.17</v>
      </c>
      <c r="H22" s="35">
        <v>341.27100000000002</v>
      </c>
      <c r="I22" s="21">
        <v>69.819999999999993</v>
      </c>
      <c r="J22" s="21">
        <v>1856.8805239999999</v>
      </c>
      <c r="K22" s="20"/>
    </row>
    <row r="23" spans="1:11" s="34" customFormat="1" ht="27.75" customHeight="1" x14ac:dyDescent="0.3">
      <c r="A23" s="28" t="s">
        <v>6</v>
      </c>
      <c r="B23" s="32" t="s">
        <v>195</v>
      </c>
      <c r="C23" s="38">
        <f t="shared" ref="C23:C51" si="6">SUM(F23:K23)</f>
        <v>10257.188200000001</v>
      </c>
      <c r="D23" s="38">
        <f t="shared" si="2"/>
        <v>10257.188200000001</v>
      </c>
      <c r="E23" s="33">
        <f>E24+E27</f>
        <v>0</v>
      </c>
      <c r="F23" s="38">
        <f>F24+F27</f>
        <v>2427.2710000000002</v>
      </c>
      <c r="G23" s="38">
        <f t="shared" ref="G23:J23" si="7">G24+G27</f>
        <v>2792.1342500000001</v>
      </c>
      <c r="H23" s="38">
        <f t="shared" si="7"/>
        <v>1841.5137</v>
      </c>
      <c r="I23" s="32">
        <f t="shared" si="7"/>
        <v>1495.7562499999999</v>
      </c>
      <c r="J23" s="32">
        <f t="shared" si="7"/>
        <v>1700.5129999999999</v>
      </c>
      <c r="K23" s="32"/>
    </row>
    <row r="24" spans="1:11" s="19" customFormat="1" ht="13.8" x14ac:dyDescent="0.25">
      <c r="A24" s="45" t="s">
        <v>177</v>
      </c>
      <c r="B24" s="8" t="s">
        <v>167</v>
      </c>
      <c r="C24" s="17">
        <f t="shared" si="6"/>
        <v>7829.9172000000008</v>
      </c>
      <c r="D24" s="17">
        <f t="shared" si="2"/>
        <v>7829.9172000000008</v>
      </c>
      <c r="E24" s="9">
        <f>E25+E26</f>
        <v>0</v>
      </c>
      <c r="F24" s="9">
        <f t="shared" ref="F24:J24" si="8">F25+F26</f>
        <v>0</v>
      </c>
      <c r="G24" s="17">
        <f t="shared" si="8"/>
        <v>2792.1342500000001</v>
      </c>
      <c r="H24" s="17">
        <f t="shared" si="8"/>
        <v>1841.5137</v>
      </c>
      <c r="I24" s="8">
        <f t="shared" si="8"/>
        <v>1495.7562499999999</v>
      </c>
      <c r="J24" s="8">
        <f t="shared" si="8"/>
        <v>1700.5129999999999</v>
      </c>
      <c r="K24" s="8"/>
    </row>
    <row r="25" spans="1:11" s="22" customFormat="1" ht="13.8" x14ac:dyDescent="0.25">
      <c r="A25" s="46" t="s">
        <v>4</v>
      </c>
      <c r="B25" s="20" t="s">
        <v>168</v>
      </c>
      <c r="C25" s="21">
        <f>SUM(F25:K25)</f>
        <v>7829.9172000000008</v>
      </c>
      <c r="D25" s="21">
        <f t="shared" si="2"/>
        <v>7829.9172000000008</v>
      </c>
      <c r="E25" s="31"/>
      <c r="F25" s="31"/>
      <c r="G25" s="21">
        <f>G11-G30</f>
        <v>2792.1342500000001</v>
      </c>
      <c r="H25" s="21">
        <f>H11-H30</f>
        <v>1841.5137</v>
      </c>
      <c r="I25" s="21">
        <f t="shared" ref="I25" si="9">I11-I30</f>
        <v>1495.7562499999999</v>
      </c>
      <c r="J25" s="21">
        <v>1700.5129999999999</v>
      </c>
      <c r="K25" s="20"/>
    </row>
    <row r="26" spans="1:11" s="22" customFormat="1" ht="13.8" x14ac:dyDescent="0.25">
      <c r="A26" s="46" t="s">
        <v>5</v>
      </c>
      <c r="B26" s="20" t="s">
        <v>169</v>
      </c>
      <c r="C26" s="21">
        <f>SUM(F26:K26)</f>
        <v>0</v>
      </c>
      <c r="D26" s="21">
        <f t="shared" si="2"/>
        <v>0</v>
      </c>
      <c r="E26" s="31"/>
      <c r="F26" s="31"/>
      <c r="G26" s="31"/>
      <c r="H26" s="31"/>
      <c r="I26" s="20"/>
      <c r="J26" s="20"/>
      <c r="K26" s="20"/>
    </row>
    <row r="27" spans="1:11" s="19" customFormat="1" ht="13.8" x14ac:dyDescent="0.25">
      <c r="A27" s="45" t="s">
        <v>178</v>
      </c>
      <c r="B27" s="8" t="s">
        <v>170</v>
      </c>
      <c r="C27" s="17">
        <f t="shared" si="6"/>
        <v>2427.2710000000002</v>
      </c>
      <c r="D27" s="17">
        <f t="shared" si="2"/>
        <v>2427.2710000000002</v>
      </c>
      <c r="E27" s="9">
        <f>E28</f>
        <v>0</v>
      </c>
      <c r="F27" s="17">
        <f>F28+F29</f>
        <v>2427.2710000000002</v>
      </c>
      <c r="G27" s="9"/>
      <c r="H27" s="9"/>
      <c r="I27" s="8"/>
      <c r="J27" s="8"/>
      <c r="K27" s="8"/>
    </row>
    <row r="28" spans="1:11" s="22" customFormat="1" ht="13.8" x14ac:dyDescent="0.25">
      <c r="A28" s="46" t="s">
        <v>4</v>
      </c>
      <c r="B28" s="20" t="s">
        <v>171</v>
      </c>
      <c r="C28" s="17">
        <f t="shared" si="6"/>
        <v>2427.2710000000002</v>
      </c>
      <c r="D28" s="17">
        <f t="shared" si="2"/>
        <v>2427.2710000000002</v>
      </c>
      <c r="E28" s="31"/>
      <c r="F28" s="21">
        <v>2427.2710000000002</v>
      </c>
      <c r="G28" s="31"/>
      <c r="H28" s="31"/>
      <c r="I28" s="20"/>
      <c r="J28" s="20"/>
      <c r="K28" s="20"/>
    </row>
    <row r="29" spans="1:11" s="22" customFormat="1" ht="13.8" x14ac:dyDescent="0.25">
      <c r="A29" s="46" t="s">
        <v>5</v>
      </c>
      <c r="B29" s="20" t="s">
        <v>172</v>
      </c>
      <c r="C29" s="17">
        <f t="shared" si="6"/>
        <v>0</v>
      </c>
      <c r="D29" s="17">
        <f t="shared" si="2"/>
        <v>0</v>
      </c>
      <c r="E29" s="31"/>
      <c r="F29" s="31"/>
      <c r="G29" s="31"/>
      <c r="H29" s="31"/>
      <c r="I29" s="20"/>
      <c r="J29" s="20"/>
      <c r="K29" s="20"/>
    </row>
    <row r="30" spans="1:11" s="19" customFormat="1" ht="13.8" x14ac:dyDescent="0.25">
      <c r="A30" s="45" t="s">
        <v>14</v>
      </c>
      <c r="B30" s="8" t="s">
        <v>174</v>
      </c>
      <c r="C30" s="17">
        <f t="shared" si="6"/>
        <v>2379.6194439999999</v>
      </c>
      <c r="D30" s="17">
        <f t="shared" si="2"/>
        <v>2379.6194439999999</v>
      </c>
      <c r="E30" s="9">
        <f>E31+E34</f>
        <v>0</v>
      </c>
      <c r="F30" s="17">
        <f>F31+F34</f>
        <v>410.35899999999998</v>
      </c>
      <c r="G30" s="17">
        <f>G31+G34</f>
        <v>903.73275000000001</v>
      </c>
      <c r="H30" s="17">
        <f t="shared" ref="H30:J30" si="10">H31+H34</f>
        <v>522.83230000000003</v>
      </c>
      <c r="I30" s="17">
        <f t="shared" si="10"/>
        <v>479.96674999999999</v>
      </c>
      <c r="J30" s="17">
        <f t="shared" si="10"/>
        <v>62.728644000000003</v>
      </c>
      <c r="K30" s="8"/>
    </row>
    <row r="31" spans="1:11" s="19" customFormat="1" ht="13.8" x14ac:dyDescent="0.25">
      <c r="A31" s="45">
        <v>1</v>
      </c>
      <c r="B31" s="8" t="s">
        <v>160</v>
      </c>
      <c r="C31" s="17">
        <f t="shared" si="6"/>
        <v>1.5</v>
      </c>
      <c r="D31" s="17">
        <f t="shared" si="2"/>
        <v>1.5</v>
      </c>
      <c r="E31" s="9">
        <f>SUM(E32:E32)</f>
        <v>0</v>
      </c>
      <c r="F31" s="17">
        <f>SUM(F32:F33)</f>
        <v>1.5</v>
      </c>
      <c r="G31" s="9"/>
      <c r="H31" s="9"/>
      <c r="I31" s="8"/>
      <c r="J31" s="8"/>
      <c r="K31" s="8"/>
    </row>
    <row r="32" spans="1:11" s="22" customFormat="1" ht="13.8" x14ac:dyDescent="0.25">
      <c r="A32" s="46" t="s">
        <v>158</v>
      </c>
      <c r="B32" s="30" t="s">
        <v>164</v>
      </c>
      <c r="C32" s="21">
        <f t="shared" si="6"/>
        <v>1.1000000000000001</v>
      </c>
      <c r="D32" s="21">
        <f t="shared" si="2"/>
        <v>1.1000000000000001</v>
      </c>
      <c r="E32" s="31"/>
      <c r="F32" s="21">
        <f>F13</f>
        <v>1.1000000000000001</v>
      </c>
      <c r="G32" s="31"/>
      <c r="H32" s="31"/>
      <c r="I32" s="20"/>
      <c r="J32" s="20"/>
      <c r="K32" s="20"/>
    </row>
    <row r="33" spans="1:11" s="22" customFormat="1" ht="13.8" x14ac:dyDescent="0.25">
      <c r="A33" s="46" t="s">
        <v>159</v>
      </c>
      <c r="B33" s="30" t="s">
        <v>196</v>
      </c>
      <c r="C33" s="21">
        <f>F33</f>
        <v>0.4</v>
      </c>
      <c r="D33" s="21">
        <f t="shared" si="2"/>
        <v>0.4</v>
      </c>
      <c r="E33" s="31"/>
      <c r="F33" s="21">
        <f>F14</f>
        <v>0.4</v>
      </c>
      <c r="G33" s="31"/>
      <c r="H33" s="31"/>
      <c r="I33" s="20"/>
      <c r="J33" s="20"/>
      <c r="K33" s="20"/>
    </row>
    <row r="34" spans="1:11" s="19" customFormat="1" ht="13.8" x14ac:dyDescent="0.25">
      <c r="A34" s="45">
        <v>2</v>
      </c>
      <c r="B34" s="8" t="s">
        <v>176</v>
      </c>
      <c r="C34" s="17">
        <f>SUM(F34:K34)</f>
        <v>2378.1194439999999</v>
      </c>
      <c r="D34" s="17">
        <f t="shared" si="2"/>
        <v>2378.1194439999999</v>
      </c>
      <c r="E34" s="9">
        <f>SUM(E35:E40)</f>
        <v>0</v>
      </c>
      <c r="F34" s="17">
        <f>SUM(F35:F41)</f>
        <v>408.85899999999998</v>
      </c>
      <c r="G34" s="17">
        <f>SUM(G35:G41)</f>
        <v>903.73275000000001</v>
      </c>
      <c r="H34" s="17">
        <f>SUM(H35:H41)</f>
        <v>522.83230000000003</v>
      </c>
      <c r="I34" s="17">
        <f t="shared" ref="I34:J34" si="11">SUM(I35:I41)</f>
        <v>479.96674999999999</v>
      </c>
      <c r="J34" s="17">
        <f t="shared" si="11"/>
        <v>62.728644000000003</v>
      </c>
      <c r="K34" s="8"/>
    </row>
    <row r="35" spans="1:11" s="22" customFormat="1" ht="13.8" x14ac:dyDescent="0.25">
      <c r="A35" s="46" t="s">
        <v>177</v>
      </c>
      <c r="B35" s="30" t="s">
        <v>162</v>
      </c>
      <c r="C35" s="21">
        <f>SUM(F35:K35)</f>
        <v>407.77499999999998</v>
      </c>
      <c r="D35" s="21">
        <f t="shared" si="2"/>
        <v>407.77499999999998</v>
      </c>
      <c r="E35" s="31"/>
      <c r="F35" s="21">
        <f>F16*0.15</f>
        <v>407.77499999999998</v>
      </c>
      <c r="G35" s="21"/>
      <c r="H35" s="21"/>
      <c r="I35" s="21"/>
      <c r="J35" s="21"/>
      <c r="K35" s="21"/>
    </row>
    <row r="36" spans="1:11" s="43" customFormat="1" ht="13.8" x14ac:dyDescent="0.25">
      <c r="A36" s="46" t="s">
        <v>178</v>
      </c>
      <c r="B36" s="30" t="s">
        <v>197</v>
      </c>
      <c r="C36" s="44">
        <f>SUM(F36:K36)</f>
        <v>0.184</v>
      </c>
      <c r="D36" s="44">
        <f t="shared" si="2"/>
        <v>0.184</v>
      </c>
      <c r="E36" s="41"/>
      <c r="F36" s="44">
        <f>F17*0.5</f>
        <v>0.184</v>
      </c>
      <c r="G36" s="44"/>
      <c r="H36" s="44"/>
      <c r="I36" s="44"/>
      <c r="J36" s="44"/>
      <c r="K36" s="44"/>
    </row>
    <row r="37" spans="1:11" s="43" customFormat="1" ht="27.6" x14ac:dyDescent="0.3">
      <c r="A37" s="47" t="s">
        <v>201</v>
      </c>
      <c r="B37" s="40" t="s">
        <v>198</v>
      </c>
      <c r="C37" s="44">
        <f t="shared" ref="C37:C41" si="12">SUM(F37:K37)</f>
        <v>0.75</v>
      </c>
      <c r="D37" s="44">
        <f t="shared" si="2"/>
        <v>0.75</v>
      </c>
      <c r="E37" s="41"/>
      <c r="F37" s="44">
        <f>F18*0.1</f>
        <v>0.75</v>
      </c>
      <c r="G37" s="44"/>
      <c r="H37" s="44"/>
      <c r="I37" s="44"/>
      <c r="J37" s="44"/>
      <c r="K37" s="44"/>
    </row>
    <row r="38" spans="1:11" s="43" customFormat="1" ht="13.8" x14ac:dyDescent="0.3">
      <c r="A38" s="47" t="s">
        <v>202</v>
      </c>
      <c r="B38" s="40" t="s">
        <v>199</v>
      </c>
      <c r="C38" s="44">
        <f t="shared" si="12"/>
        <v>0.15000000000000002</v>
      </c>
      <c r="D38" s="44">
        <f t="shared" si="2"/>
        <v>0.15000000000000002</v>
      </c>
      <c r="E38" s="41"/>
      <c r="F38" s="44">
        <f>F19*0.1</f>
        <v>0.15000000000000002</v>
      </c>
      <c r="G38" s="44"/>
      <c r="H38" s="44"/>
      <c r="I38" s="44"/>
      <c r="J38" s="44"/>
      <c r="K38" s="44"/>
    </row>
    <row r="39" spans="1:11" s="43" customFormat="1" ht="13.8" x14ac:dyDescent="0.3">
      <c r="A39" s="47" t="s">
        <v>203</v>
      </c>
      <c r="B39" s="40" t="s">
        <v>200</v>
      </c>
      <c r="C39" s="44">
        <f t="shared" si="12"/>
        <v>0</v>
      </c>
      <c r="D39" s="44">
        <f t="shared" si="2"/>
        <v>0</v>
      </c>
      <c r="E39" s="41"/>
      <c r="F39" s="44">
        <f>F20*0.5</f>
        <v>0</v>
      </c>
      <c r="G39" s="44"/>
      <c r="H39" s="44"/>
      <c r="I39" s="44"/>
      <c r="J39" s="44"/>
      <c r="K39" s="44"/>
    </row>
    <row r="40" spans="1:11" s="22" customFormat="1" ht="13.8" x14ac:dyDescent="0.25">
      <c r="A40" s="46" t="s">
        <v>204</v>
      </c>
      <c r="B40" s="30" t="s">
        <v>161</v>
      </c>
      <c r="C40" s="44">
        <f t="shared" si="12"/>
        <v>1880.91875</v>
      </c>
      <c r="D40" s="44">
        <f t="shared" si="2"/>
        <v>1880.91875</v>
      </c>
      <c r="E40" s="31"/>
      <c r="F40" s="21"/>
      <c r="G40" s="21">
        <f>G21*0.25</f>
        <v>898.67425000000003</v>
      </c>
      <c r="H40" s="21">
        <f t="shared" ref="H40" si="13">H21*0.25</f>
        <v>505.76875000000001</v>
      </c>
      <c r="I40" s="21">
        <f>I21*0.25</f>
        <v>476.47575000000001</v>
      </c>
      <c r="J40" s="21"/>
      <c r="K40" s="21"/>
    </row>
    <row r="41" spans="1:11" s="22" customFormat="1" ht="13.8" x14ac:dyDescent="0.25">
      <c r="A41" s="46" t="s">
        <v>205</v>
      </c>
      <c r="B41" s="30" t="s">
        <v>143</v>
      </c>
      <c r="C41" s="44">
        <f t="shared" si="12"/>
        <v>88.341694000000004</v>
      </c>
      <c r="D41" s="44">
        <f t="shared" si="2"/>
        <v>88.341694000000004</v>
      </c>
      <c r="E41" s="31"/>
      <c r="F41" s="21"/>
      <c r="G41" s="21">
        <v>5.0585000000000004</v>
      </c>
      <c r="H41" s="21">
        <v>17.063549999999999</v>
      </c>
      <c r="I41" s="21">
        <v>3.4910000000000001</v>
      </c>
      <c r="J41" s="21">
        <v>62.728644000000003</v>
      </c>
      <c r="K41" s="21"/>
    </row>
    <row r="42" spans="1:11" s="19" customFormat="1" ht="13.8" x14ac:dyDescent="0.25">
      <c r="A42" s="45" t="s">
        <v>25</v>
      </c>
      <c r="B42" s="8" t="s">
        <v>33</v>
      </c>
      <c r="C42" s="17">
        <f>SUM(F42:K42)</f>
        <v>14635.046045000001</v>
      </c>
      <c r="D42" s="17">
        <f>C42</f>
        <v>14635.046045000001</v>
      </c>
      <c r="E42" s="9">
        <f>E43+E49</f>
        <v>0</v>
      </c>
      <c r="F42" s="62">
        <f>F43+F46+F49</f>
        <v>8705.3860000000004</v>
      </c>
      <c r="G42" s="62">
        <f t="shared" ref="G42:J42" si="14">G43+G46+G49</f>
        <v>0</v>
      </c>
      <c r="H42" s="62">
        <f t="shared" si="14"/>
        <v>0</v>
      </c>
      <c r="I42" s="62">
        <f t="shared" si="14"/>
        <v>0</v>
      </c>
      <c r="J42" s="62">
        <f t="shared" si="14"/>
        <v>0</v>
      </c>
      <c r="K42" s="62">
        <f>K43+K46+K49</f>
        <v>5929.6600450000005</v>
      </c>
    </row>
    <row r="43" spans="1:11" s="19" customFormat="1" ht="13.8" x14ac:dyDescent="0.25">
      <c r="A43" s="45">
        <v>1</v>
      </c>
      <c r="B43" s="8" t="s">
        <v>170</v>
      </c>
      <c r="C43" s="17">
        <f t="shared" ref="C43:C50" si="15">SUM(F43:K43)</f>
        <v>8689.23</v>
      </c>
      <c r="D43" s="17">
        <f t="shared" si="2"/>
        <v>8689.23</v>
      </c>
      <c r="E43" s="9">
        <f>SUM(E44:E45)</f>
        <v>0</v>
      </c>
      <c r="F43" s="62">
        <f>F44+F45</f>
        <v>8689.23</v>
      </c>
      <c r="G43" s="63"/>
      <c r="H43" s="63"/>
      <c r="I43" s="64"/>
      <c r="J43" s="64"/>
      <c r="K43" s="64"/>
    </row>
    <row r="44" spans="1:11" s="22" customFormat="1" ht="13.8" x14ac:dyDescent="0.25">
      <c r="A44" s="46" t="s">
        <v>158</v>
      </c>
      <c r="B44" s="20" t="s">
        <v>171</v>
      </c>
      <c r="C44" s="21">
        <f t="shared" si="15"/>
        <v>4600.1930000000002</v>
      </c>
      <c r="D44" s="21">
        <f t="shared" si="2"/>
        <v>4600.1930000000002</v>
      </c>
      <c r="E44" s="31"/>
      <c r="F44" s="65">
        <v>4600.1930000000002</v>
      </c>
      <c r="G44" s="66"/>
      <c r="H44" s="66"/>
      <c r="I44" s="67"/>
      <c r="J44" s="67"/>
      <c r="K44" s="67"/>
    </row>
    <row r="45" spans="1:11" s="22" customFormat="1" ht="13.8" x14ac:dyDescent="0.25">
      <c r="A45" s="46" t="s">
        <v>159</v>
      </c>
      <c r="B45" s="20" t="s">
        <v>172</v>
      </c>
      <c r="C45" s="21">
        <f t="shared" si="15"/>
        <v>4089.0370000000003</v>
      </c>
      <c r="D45" s="21">
        <f t="shared" si="2"/>
        <v>4089.0370000000003</v>
      </c>
      <c r="E45" s="31"/>
      <c r="F45" s="65">
        <f>4105.193-16.156</f>
        <v>4089.0370000000003</v>
      </c>
      <c r="G45" s="66"/>
      <c r="H45" s="66"/>
      <c r="I45" s="67"/>
      <c r="J45" s="67"/>
      <c r="K45" s="67"/>
    </row>
    <row r="46" spans="1:11" s="19" customFormat="1" ht="13.8" x14ac:dyDescent="0.25">
      <c r="A46" s="45">
        <v>2</v>
      </c>
      <c r="B46" s="8" t="s">
        <v>167</v>
      </c>
      <c r="C46" s="17">
        <f t="shared" si="15"/>
        <v>5884.6600450000005</v>
      </c>
      <c r="D46" s="17">
        <f t="shared" si="2"/>
        <v>5884.6600450000005</v>
      </c>
      <c r="E46" s="9">
        <f>SUM(E47:E48)</f>
        <v>0</v>
      </c>
      <c r="F46" s="63"/>
      <c r="G46" s="63"/>
      <c r="H46" s="63"/>
      <c r="I46" s="63">
        <f>SUM(I47:I48)</f>
        <v>0</v>
      </c>
      <c r="J46" s="64"/>
      <c r="K46" s="62">
        <f>K47+K48</f>
        <v>5884.6600450000005</v>
      </c>
    </row>
    <row r="47" spans="1:11" s="22" customFormat="1" ht="13.8" x14ac:dyDescent="0.25">
      <c r="A47" s="46" t="s">
        <v>177</v>
      </c>
      <c r="B47" s="20" t="s">
        <v>171</v>
      </c>
      <c r="C47" s="21">
        <f t="shared" si="15"/>
        <v>3024.229045</v>
      </c>
      <c r="D47" s="21">
        <f t="shared" si="2"/>
        <v>3024.229045</v>
      </c>
      <c r="E47" s="31"/>
      <c r="F47" s="66"/>
      <c r="G47" s="66"/>
      <c r="H47" s="66"/>
      <c r="I47" s="66"/>
      <c r="J47" s="67"/>
      <c r="K47" s="65">
        <v>3024.229045</v>
      </c>
    </row>
    <row r="48" spans="1:11" s="22" customFormat="1" ht="13.8" x14ac:dyDescent="0.25">
      <c r="A48" s="46" t="s">
        <v>178</v>
      </c>
      <c r="B48" s="20" t="s">
        <v>172</v>
      </c>
      <c r="C48" s="21">
        <f t="shared" si="15"/>
        <v>2860.431</v>
      </c>
      <c r="D48" s="21">
        <f t="shared" si="2"/>
        <v>2860.431</v>
      </c>
      <c r="E48" s="31"/>
      <c r="F48" s="66"/>
      <c r="G48" s="66"/>
      <c r="H48" s="66"/>
      <c r="I48" s="66"/>
      <c r="J48" s="67"/>
      <c r="K48" s="65">
        <f>2742.431+118</f>
        <v>2860.431</v>
      </c>
    </row>
    <row r="49" spans="1:11" s="19" customFormat="1" ht="13.8" x14ac:dyDescent="0.25">
      <c r="A49" s="45">
        <v>3</v>
      </c>
      <c r="B49" s="8" t="s">
        <v>193</v>
      </c>
      <c r="C49" s="37">
        <f t="shared" si="15"/>
        <v>61.155999999999999</v>
      </c>
      <c r="D49" s="37">
        <f t="shared" si="2"/>
        <v>61.155999999999999</v>
      </c>
      <c r="E49" s="9"/>
      <c r="F49" s="68">
        <f>F51</f>
        <v>16.155999999999999</v>
      </c>
      <c r="G49" s="63"/>
      <c r="H49" s="63"/>
      <c r="I49" s="63"/>
      <c r="J49" s="64"/>
      <c r="K49" s="64">
        <f>K51</f>
        <v>45</v>
      </c>
    </row>
    <row r="50" spans="1:11" s="22" customFormat="1" ht="13.8" x14ac:dyDescent="0.25">
      <c r="A50" s="46" t="s">
        <v>177</v>
      </c>
      <c r="B50" s="20" t="s">
        <v>171</v>
      </c>
      <c r="C50" s="21">
        <f t="shared" si="15"/>
        <v>0</v>
      </c>
      <c r="D50" s="21">
        <f t="shared" si="2"/>
        <v>0</v>
      </c>
      <c r="E50" s="31"/>
      <c r="F50" s="66"/>
      <c r="G50" s="66"/>
      <c r="H50" s="66"/>
      <c r="I50" s="66"/>
      <c r="J50" s="67"/>
      <c r="K50" s="67"/>
    </row>
    <row r="51" spans="1:11" s="22" customFormat="1" ht="13.8" x14ac:dyDescent="0.25">
      <c r="A51" s="46" t="s">
        <v>178</v>
      </c>
      <c r="B51" s="20" t="s">
        <v>172</v>
      </c>
      <c r="C51" s="35">
        <f t="shared" si="6"/>
        <v>61.155999999999999</v>
      </c>
      <c r="D51" s="35">
        <f t="shared" si="2"/>
        <v>61.155999999999999</v>
      </c>
      <c r="E51" s="31"/>
      <c r="F51" s="69">
        <v>16.155999999999999</v>
      </c>
      <c r="G51" s="66"/>
      <c r="H51" s="66"/>
      <c r="I51" s="66"/>
      <c r="J51" s="67"/>
      <c r="K51" s="67">
        <v>45</v>
      </c>
    </row>
    <row r="52" spans="1:11" s="1" customFormat="1" ht="15.6" x14ac:dyDescent="0.3">
      <c r="D52" s="5"/>
      <c r="E52" s="5"/>
      <c r="F52" s="70"/>
      <c r="G52" s="70"/>
      <c r="H52" s="70"/>
      <c r="I52" s="70"/>
      <c r="J52" s="70"/>
      <c r="K52" s="70"/>
    </row>
    <row r="53" spans="1:11" s="1" customFormat="1" ht="15.6" x14ac:dyDescent="0.3">
      <c r="F53" s="70"/>
      <c r="G53" s="70"/>
      <c r="H53" s="70"/>
      <c r="I53" s="70"/>
      <c r="J53" s="70"/>
      <c r="K53" s="70"/>
    </row>
    <row r="54" spans="1:11" x14ac:dyDescent="0.35">
      <c r="C54" s="52"/>
      <c r="F54" s="71"/>
      <c r="G54" s="71"/>
      <c r="H54" s="71"/>
      <c r="I54" s="71"/>
      <c r="J54" s="71"/>
      <c r="K54" s="71"/>
    </row>
    <row r="55" spans="1:11" x14ac:dyDescent="0.35">
      <c r="C55" s="53"/>
    </row>
  </sheetData>
  <mergeCells count="9">
    <mergeCell ref="A4:K4"/>
    <mergeCell ref="A5:K5"/>
    <mergeCell ref="A3:D3"/>
    <mergeCell ref="A8:A9"/>
    <mergeCell ref="B8:B9"/>
    <mergeCell ref="C8:C9"/>
    <mergeCell ref="D8:D9"/>
    <mergeCell ref="E8:E9"/>
    <mergeCell ref="F8:K8"/>
  </mergeCells>
  <pageMargins left="0.36" right="0.35" top="0.54" bottom="0.51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15" sqref="B15"/>
    </sheetView>
  </sheetViews>
  <sheetFormatPr defaultColWidth="9.109375" defaultRowHeight="18" x14ac:dyDescent="0.35"/>
  <cols>
    <col min="1" max="1" width="5.6640625" style="2" customWidth="1"/>
    <col min="2" max="2" width="38.33203125" style="2" customWidth="1"/>
    <col min="3" max="3" width="12.109375" style="2" customWidth="1"/>
    <col min="4" max="4" width="12" style="2" customWidth="1"/>
    <col min="5" max="5" width="10" style="2" customWidth="1"/>
    <col min="6" max="6" width="11.6640625" style="2" customWidth="1"/>
    <col min="7" max="16384" width="9.109375" style="2"/>
  </cols>
  <sheetData>
    <row r="1" spans="1:6" x14ac:dyDescent="0.35">
      <c r="A1" s="51" t="s">
        <v>0</v>
      </c>
    </row>
    <row r="2" spans="1:6" x14ac:dyDescent="0.35">
      <c r="A2" s="51" t="s">
        <v>1</v>
      </c>
    </row>
    <row r="3" spans="1:6" ht="13.5" customHeight="1" x14ac:dyDescent="0.35">
      <c r="A3" s="58"/>
      <c r="B3" s="58"/>
      <c r="C3" s="58"/>
      <c r="D3" s="58"/>
      <c r="E3" s="48"/>
    </row>
    <row r="4" spans="1:6" x14ac:dyDescent="0.35">
      <c r="A4" s="58" t="s">
        <v>206</v>
      </c>
      <c r="B4" s="58"/>
      <c r="C4" s="58"/>
      <c r="D4" s="58"/>
      <c r="E4" s="58"/>
      <c r="F4" s="58"/>
    </row>
    <row r="5" spans="1:6" x14ac:dyDescent="0.35">
      <c r="A5" s="60" t="s">
        <v>207</v>
      </c>
      <c r="B5" s="60"/>
      <c r="C5" s="60"/>
      <c r="D5" s="60"/>
      <c r="E5" s="60"/>
      <c r="F5" s="60"/>
    </row>
    <row r="6" spans="1:6" ht="11.25" customHeight="1" x14ac:dyDescent="0.35">
      <c r="A6" s="50"/>
      <c r="B6" s="50"/>
      <c r="C6" s="50"/>
      <c r="D6" s="50"/>
      <c r="E6" s="50"/>
      <c r="F6" s="50"/>
    </row>
    <row r="7" spans="1:6" x14ac:dyDescent="0.35">
      <c r="D7" s="1"/>
      <c r="E7" s="1" t="s">
        <v>150</v>
      </c>
    </row>
    <row r="8" spans="1:6" s="4" customFormat="1" ht="64.5" customHeight="1" x14ac:dyDescent="0.3">
      <c r="A8" s="49" t="s">
        <v>2</v>
      </c>
      <c r="B8" s="49" t="s">
        <v>30</v>
      </c>
      <c r="C8" s="49" t="s">
        <v>192</v>
      </c>
      <c r="D8" s="49" t="s">
        <v>183</v>
      </c>
      <c r="E8" s="49" t="s">
        <v>184</v>
      </c>
      <c r="F8" s="49" t="s">
        <v>186</v>
      </c>
    </row>
    <row r="9" spans="1:6" s="34" customFormat="1" ht="27.6" x14ac:dyDescent="0.3">
      <c r="A9" s="49" t="s">
        <v>8</v>
      </c>
      <c r="B9" s="32" t="s">
        <v>194</v>
      </c>
      <c r="C9" s="32"/>
      <c r="D9" s="32"/>
      <c r="E9" s="32"/>
      <c r="F9" s="32"/>
    </row>
    <row r="10" spans="1:6" s="19" customFormat="1" ht="13.8" x14ac:dyDescent="0.25">
      <c r="A10" s="45" t="s">
        <v>3</v>
      </c>
      <c r="B10" s="8" t="s">
        <v>157</v>
      </c>
      <c r="C10" s="17">
        <f>F10</f>
        <v>2161.5200000000004</v>
      </c>
      <c r="D10" s="17">
        <f>C10</f>
        <v>2161.5200000000004</v>
      </c>
      <c r="E10" s="9">
        <f>E11+E14</f>
        <v>0</v>
      </c>
      <c r="F10" s="17">
        <f>F11+F14</f>
        <v>2161.5200000000004</v>
      </c>
    </row>
    <row r="11" spans="1:6" s="19" customFormat="1" ht="13.8" x14ac:dyDescent="0.25">
      <c r="A11" s="45">
        <v>1</v>
      </c>
      <c r="B11" s="8" t="s">
        <v>160</v>
      </c>
      <c r="C11" s="17">
        <f t="shared" ref="C11:C48" si="0">F11</f>
        <v>1.3</v>
      </c>
      <c r="D11" s="17">
        <f>C11</f>
        <v>1.3</v>
      </c>
      <c r="E11" s="9"/>
      <c r="F11" s="17">
        <f>SUM(F12:F13)</f>
        <v>1.3</v>
      </c>
    </row>
    <row r="12" spans="1:6" s="22" customFormat="1" ht="13.8" x14ac:dyDescent="0.25">
      <c r="A12" s="46" t="s">
        <v>158</v>
      </c>
      <c r="B12" s="30" t="s">
        <v>164</v>
      </c>
      <c r="C12" s="17">
        <f t="shared" si="0"/>
        <v>1.05</v>
      </c>
      <c r="D12" s="17">
        <f t="shared" ref="D12:D48" si="1">C12</f>
        <v>1.05</v>
      </c>
      <c r="E12" s="31"/>
      <c r="F12" s="36">
        <v>1.05</v>
      </c>
    </row>
    <row r="13" spans="1:6" s="22" customFormat="1" ht="13.8" x14ac:dyDescent="0.25">
      <c r="A13" s="46" t="s">
        <v>159</v>
      </c>
      <c r="B13" s="30" t="s">
        <v>196</v>
      </c>
      <c r="C13" s="17">
        <f t="shared" si="0"/>
        <v>0.25</v>
      </c>
      <c r="D13" s="17">
        <f t="shared" si="1"/>
        <v>0.25</v>
      </c>
      <c r="E13" s="31"/>
      <c r="F13" s="36">
        <v>0.25</v>
      </c>
    </row>
    <row r="14" spans="1:6" s="19" customFormat="1" ht="13.8" x14ac:dyDescent="0.25">
      <c r="A14" s="45">
        <v>2</v>
      </c>
      <c r="B14" s="8" t="s">
        <v>176</v>
      </c>
      <c r="C14" s="17">
        <f t="shared" si="0"/>
        <v>2160.2200000000003</v>
      </c>
      <c r="D14" s="17">
        <f t="shared" si="1"/>
        <v>2160.2200000000003</v>
      </c>
      <c r="E14" s="9">
        <f>SUM(E15:E16)</f>
        <v>0</v>
      </c>
      <c r="F14" s="17">
        <f>SUM(F15:F20)</f>
        <v>2160.2200000000003</v>
      </c>
    </row>
    <row r="15" spans="1:6" s="22" customFormat="1" ht="13.8" x14ac:dyDescent="0.25">
      <c r="A15" s="46" t="s">
        <v>177</v>
      </c>
      <c r="B15" s="30" t="s">
        <v>162</v>
      </c>
      <c r="C15" s="17">
        <f t="shared" si="0"/>
        <v>2135.8000000000002</v>
      </c>
      <c r="D15" s="17">
        <f t="shared" si="1"/>
        <v>2135.8000000000002</v>
      </c>
      <c r="E15" s="31"/>
      <c r="F15" s="21">
        <v>2135.8000000000002</v>
      </c>
    </row>
    <row r="16" spans="1:6" s="43" customFormat="1" ht="13.8" x14ac:dyDescent="0.25">
      <c r="A16" s="46" t="s">
        <v>178</v>
      </c>
      <c r="B16" s="30" t="s">
        <v>197</v>
      </c>
      <c r="C16" s="17">
        <f t="shared" si="0"/>
        <v>0.84</v>
      </c>
      <c r="D16" s="17">
        <f t="shared" si="1"/>
        <v>0.84</v>
      </c>
      <c r="E16" s="41"/>
      <c r="F16" s="35">
        <v>0.84</v>
      </c>
    </row>
    <row r="17" spans="1:6" s="43" customFormat="1" ht="27.6" x14ac:dyDescent="0.25">
      <c r="A17" s="47" t="s">
        <v>201</v>
      </c>
      <c r="B17" s="40" t="s">
        <v>198</v>
      </c>
      <c r="C17" s="17">
        <f t="shared" si="0"/>
        <v>2.5</v>
      </c>
      <c r="D17" s="17">
        <f t="shared" si="1"/>
        <v>2.5</v>
      </c>
      <c r="E17" s="41"/>
      <c r="F17" s="42">
        <v>2.5</v>
      </c>
    </row>
    <row r="18" spans="1:6" s="43" customFormat="1" ht="13.8" x14ac:dyDescent="0.25">
      <c r="A18" s="47" t="s">
        <v>202</v>
      </c>
      <c r="B18" s="40" t="s">
        <v>199</v>
      </c>
      <c r="C18" s="17">
        <f t="shared" si="0"/>
        <v>2</v>
      </c>
      <c r="D18" s="17">
        <f t="shared" si="1"/>
        <v>2</v>
      </c>
      <c r="E18" s="41"/>
      <c r="F18" s="42">
        <v>2</v>
      </c>
    </row>
    <row r="19" spans="1:6" s="22" customFormat="1" ht="13.8" x14ac:dyDescent="0.25">
      <c r="A19" s="47" t="s">
        <v>203</v>
      </c>
      <c r="B19" s="40" t="s">
        <v>200</v>
      </c>
      <c r="C19" s="17">
        <f t="shared" si="0"/>
        <v>0</v>
      </c>
      <c r="D19" s="17">
        <f t="shared" si="1"/>
        <v>0</v>
      </c>
      <c r="E19" s="31"/>
      <c r="F19" s="42"/>
    </row>
    <row r="20" spans="1:6" s="22" customFormat="1" ht="13.8" x14ac:dyDescent="0.25">
      <c r="A20" s="46" t="s">
        <v>204</v>
      </c>
      <c r="B20" s="30" t="s">
        <v>143</v>
      </c>
      <c r="C20" s="17">
        <f t="shared" si="0"/>
        <v>19.079999999999998</v>
      </c>
      <c r="D20" s="17">
        <f t="shared" si="1"/>
        <v>19.079999999999998</v>
      </c>
      <c r="E20" s="31"/>
      <c r="F20" s="21">
        <v>19.079999999999998</v>
      </c>
    </row>
    <row r="21" spans="1:6" s="34" customFormat="1" ht="27.75" customHeight="1" x14ac:dyDescent="0.25">
      <c r="A21" s="49" t="s">
        <v>6</v>
      </c>
      <c r="B21" s="32" t="s">
        <v>195</v>
      </c>
      <c r="C21" s="17">
        <f t="shared" si="0"/>
        <v>1582.6510000000001</v>
      </c>
      <c r="D21" s="17">
        <f t="shared" si="1"/>
        <v>1582.6510000000001</v>
      </c>
      <c r="E21" s="33">
        <f>E22+E25</f>
        <v>0</v>
      </c>
      <c r="F21" s="38">
        <f t="shared" ref="F21" si="2">F22+F25</f>
        <v>1582.6510000000001</v>
      </c>
    </row>
    <row r="22" spans="1:6" s="19" customFormat="1" ht="13.8" x14ac:dyDescent="0.25">
      <c r="A22" s="45" t="s">
        <v>177</v>
      </c>
      <c r="B22" s="8" t="s">
        <v>167</v>
      </c>
      <c r="C22" s="17">
        <f t="shared" si="0"/>
        <v>0</v>
      </c>
      <c r="D22" s="17">
        <f t="shared" si="1"/>
        <v>0</v>
      </c>
      <c r="E22" s="9">
        <f>E23+E24</f>
        <v>0</v>
      </c>
      <c r="F22" s="9">
        <f t="shared" ref="F22" si="3">F23+F24</f>
        <v>0</v>
      </c>
    </row>
    <row r="23" spans="1:6" s="22" customFormat="1" ht="13.8" x14ac:dyDescent="0.25">
      <c r="A23" s="46" t="s">
        <v>4</v>
      </c>
      <c r="B23" s="20" t="s">
        <v>168</v>
      </c>
      <c r="C23" s="17">
        <f t="shared" si="0"/>
        <v>0</v>
      </c>
      <c r="D23" s="17">
        <f t="shared" si="1"/>
        <v>0</v>
      </c>
      <c r="E23" s="31"/>
      <c r="F23" s="31"/>
    </row>
    <row r="24" spans="1:6" s="22" customFormat="1" ht="13.8" x14ac:dyDescent="0.25">
      <c r="A24" s="46" t="s">
        <v>5</v>
      </c>
      <c r="B24" s="20" t="s">
        <v>169</v>
      </c>
      <c r="C24" s="17">
        <f t="shared" si="0"/>
        <v>0</v>
      </c>
      <c r="D24" s="17">
        <f t="shared" si="1"/>
        <v>0</v>
      </c>
      <c r="E24" s="31"/>
      <c r="F24" s="31"/>
    </row>
    <row r="25" spans="1:6" s="19" customFormat="1" ht="13.8" x14ac:dyDescent="0.25">
      <c r="A25" s="45" t="s">
        <v>178</v>
      </c>
      <c r="B25" s="8" t="s">
        <v>170</v>
      </c>
      <c r="C25" s="17">
        <f t="shared" si="0"/>
        <v>1582.6510000000001</v>
      </c>
      <c r="D25" s="17">
        <f t="shared" si="1"/>
        <v>1582.6510000000001</v>
      </c>
      <c r="E25" s="9">
        <f>E26</f>
        <v>0</v>
      </c>
      <c r="F25" s="17">
        <f>F26+F27</f>
        <v>1582.6510000000001</v>
      </c>
    </row>
    <row r="26" spans="1:6" s="22" customFormat="1" ht="13.8" x14ac:dyDescent="0.25">
      <c r="A26" s="46" t="s">
        <v>4</v>
      </c>
      <c r="B26" s="20" t="s">
        <v>171</v>
      </c>
      <c r="C26" s="17">
        <f t="shared" si="0"/>
        <v>1582.6510000000001</v>
      </c>
      <c r="D26" s="17">
        <f t="shared" si="1"/>
        <v>1582.6510000000001</v>
      </c>
      <c r="E26" s="31"/>
      <c r="F26" s="21">
        <v>1582.6510000000001</v>
      </c>
    </row>
    <row r="27" spans="1:6" s="22" customFormat="1" ht="13.8" x14ac:dyDescent="0.25">
      <c r="A27" s="46" t="s">
        <v>5</v>
      </c>
      <c r="B27" s="20" t="s">
        <v>172</v>
      </c>
      <c r="C27" s="17">
        <f t="shared" si="0"/>
        <v>0</v>
      </c>
      <c r="D27" s="17">
        <f t="shared" si="1"/>
        <v>0</v>
      </c>
      <c r="E27" s="31"/>
      <c r="F27" s="31"/>
    </row>
    <row r="28" spans="1:6" s="19" customFormat="1" ht="13.8" x14ac:dyDescent="0.25">
      <c r="A28" s="45" t="s">
        <v>14</v>
      </c>
      <c r="B28" s="8" t="s">
        <v>174</v>
      </c>
      <c r="C28" s="17">
        <f t="shared" si="0"/>
        <v>322.54000000000002</v>
      </c>
      <c r="D28" s="17">
        <f t="shared" si="1"/>
        <v>322.54000000000002</v>
      </c>
      <c r="E28" s="9">
        <f>E29+E32</f>
        <v>0</v>
      </c>
      <c r="F28" s="17">
        <f>F29+F32</f>
        <v>322.54000000000002</v>
      </c>
    </row>
    <row r="29" spans="1:6" s="19" customFormat="1" ht="13.8" x14ac:dyDescent="0.25">
      <c r="A29" s="45">
        <v>1</v>
      </c>
      <c r="B29" s="8" t="s">
        <v>160</v>
      </c>
      <c r="C29" s="17">
        <f t="shared" si="0"/>
        <v>1.3</v>
      </c>
      <c r="D29" s="17">
        <f t="shared" si="1"/>
        <v>1.3</v>
      </c>
      <c r="E29" s="9">
        <f>SUM(E30:E30)</f>
        <v>0</v>
      </c>
      <c r="F29" s="17">
        <f>SUM(F30:F31)</f>
        <v>1.3</v>
      </c>
    </row>
    <row r="30" spans="1:6" s="22" customFormat="1" ht="13.8" x14ac:dyDescent="0.25">
      <c r="A30" s="46" t="s">
        <v>158</v>
      </c>
      <c r="B30" s="30" t="s">
        <v>164</v>
      </c>
      <c r="C30" s="17">
        <f t="shared" si="0"/>
        <v>1.05</v>
      </c>
      <c r="D30" s="17">
        <f t="shared" si="1"/>
        <v>1.05</v>
      </c>
      <c r="E30" s="31"/>
      <c r="F30" s="21">
        <f>F12</f>
        <v>1.05</v>
      </c>
    </row>
    <row r="31" spans="1:6" s="22" customFormat="1" ht="13.8" x14ac:dyDescent="0.25">
      <c r="A31" s="46" t="s">
        <v>159</v>
      </c>
      <c r="B31" s="30" t="s">
        <v>196</v>
      </c>
      <c r="C31" s="17">
        <f t="shared" si="0"/>
        <v>0.25</v>
      </c>
      <c r="D31" s="17">
        <f t="shared" si="1"/>
        <v>0.25</v>
      </c>
      <c r="E31" s="31"/>
      <c r="F31" s="21">
        <f>F13</f>
        <v>0.25</v>
      </c>
    </row>
    <row r="32" spans="1:6" s="19" customFormat="1" ht="13.8" x14ac:dyDescent="0.25">
      <c r="A32" s="45">
        <v>2</v>
      </c>
      <c r="B32" s="8" t="s">
        <v>176</v>
      </c>
      <c r="C32" s="17">
        <f t="shared" si="0"/>
        <v>321.24</v>
      </c>
      <c r="D32" s="17">
        <f t="shared" si="1"/>
        <v>321.24</v>
      </c>
      <c r="E32" s="9">
        <f>SUM(E33:E37)</f>
        <v>0</v>
      </c>
      <c r="F32" s="17">
        <f>SUM(F33:F38)</f>
        <v>321.24</v>
      </c>
    </row>
    <row r="33" spans="1:6" s="22" customFormat="1" ht="13.8" x14ac:dyDescent="0.25">
      <c r="A33" s="46" t="s">
        <v>177</v>
      </c>
      <c r="B33" s="30" t="s">
        <v>162</v>
      </c>
      <c r="C33" s="17">
        <f t="shared" si="0"/>
        <v>320.37</v>
      </c>
      <c r="D33" s="17">
        <f t="shared" si="1"/>
        <v>320.37</v>
      </c>
      <c r="E33" s="31"/>
      <c r="F33" s="21">
        <f>F15*0.15</f>
        <v>320.37</v>
      </c>
    </row>
    <row r="34" spans="1:6" s="43" customFormat="1" ht="13.8" x14ac:dyDescent="0.25">
      <c r="A34" s="46" t="s">
        <v>178</v>
      </c>
      <c r="B34" s="30" t="s">
        <v>197</v>
      </c>
      <c r="C34" s="17">
        <f t="shared" si="0"/>
        <v>0.42</v>
      </c>
      <c r="D34" s="17">
        <f t="shared" si="1"/>
        <v>0.42</v>
      </c>
      <c r="E34" s="41"/>
      <c r="F34" s="44">
        <f>F16*0.5</f>
        <v>0.42</v>
      </c>
    </row>
    <row r="35" spans="1:6" s="43" customFormat="1" ht="27.6" x14ac:dyDescent="0.25">
      <c r="A35" s="47" t="s">
        <v>201</v>
      </c>
      <c r="B35" s="40" t="s">
        <v>198</v>
      </c>
      <c r="C35" s="17">
        <f t="shared" si="0"/>
        <v>0.25</v>
      </c>
      <c r="D35" s="17">
        <f t="shared" si="1"/>
        <v>0.25</v>
      </c>
      <c r="E35" s="41"/>
      <c r="F35" s="44">
        <f>F17*0.1</f>
        <v>0.25</v>
      </c>
    </row>
    <row r="36" spans="1:6" s="43" customFormat="1" ht="13.8" x14ac:dyDescent="0.25">
      <c r="A36" s="47" t="s">
        <v>202</v>
      </c>
      <c r="B36" s="40" t="s">
        <v>199</v>
      </c>
      <c r="C36" s="17">
        <f t="shared" si="0"/>
        <v>0.2</v>
      </c>
      <c r="D36" s="17">
        <f t="shared" si="1"/>
        <v>0.2</v>
      </c>
      <c r="E36" s="41"/>
      <c r="F36" s="44">
        <f>F18*0.1</f>
        <v>0.2</v>
      </c>
    </row>
    <row r="37" spans="1:6" s="22" customFormat="1" ht="13.8" x14ac:dyDescent="0.25">
      <c r="A37" s="47" t="s">
        <v>203</v>
      </c>
      <c r="B37" s="40" t="s">
        <v>200</v>
      </c>
      <c r="C37" s="17">
        <f t="shared" si="0"/>
        <v>0</v>
      </c>
      <c r="D37" s="17">
        <f t="shared" si="1"/>
        <v>0</v>
      </c>
      <c r="E37" s="31"/>
      <c r="F37" s="21">
        <f>F19*0.5</f>
        <v>0</v>
      </c>
    </row>
    <row r="38" spans="1:6" s="22" customFormat="1" ht="13.8" x14ac:dyDescent="0.25">
      <c r="A38" s="46" t="s">
        <v>204</v>
      </c>
      <c r="B38" s="30" t="s">
        <v>143</v>
      </c>
      <c r="C38" s="17">
        <f t="shared" si="0"/>
        <v>0</v>
      </c>
      <c r="D38" s="17">
        <f t="shared" si="1"/>
        <v>0</v>
      </c>
      <c r="E38" s="31"/>
      <c r="F38" s="21"/>
    </row>
    <row r="39" spans="1:6" s="19" customFormat="1" ht="13.8" x14ac:dyDescent="0.25">
      <c r="A39" s="45" t="s">
        <v>25</v>
      </c>
      <c r="B39" s="8" t="s">
        <v>33</v>
      </c>
      <c r="C39" s="17">
        <f t="shared" si="0"/>
        <v>7833.4529999999995</v>
      </c>
      <c r="D39" s="17">
        <f t="shared" si="1"/>
        <v>7833.4529999999995</v>
      </c>
      <c r="E39" s="9">
        <f>E40+E46</f>
        <v>0</v>
      </c>
      <c r="F39" s="17">
        <f>F40+F43+F46</f>
        <v>7833.4529999999995</v>
      </c>
    </row>
    <row r="40" spans="1:6" s="19" customFormat="1" ht="13.8" x14ac:dyDescent="0.25">
      <c r="A40" s="45">
        <v>1</v>
      </c>
      <c r="B40" s="8" t="s">
        <v>170</v>
      </c>
      <c r="C40" s="17">
        <f t="shared" si="0"/>
        <v>7833.4529999999995</v>
      </c>
      <c r="D40" s="17">
        <f t="shared" si="1"/>
        <v>7833.4529999999995</v>
      </c>
      <c r="E40" s="9">
        <f>SUM(E41:E42)</f>
        <v>0</v>
      </c>
      <c r="F40" s="17">
        <f>F41+F42</f>
        <v>7833.4529999999995</v>
      </c>
    </row>
    <row r="41" spans="1:6" s="22" customFormat="1" ht="13.8" x14ac:dyDescent="0.25">
      <c r="A41" s="46" t="s">
        <v>158</v>
      </c>
      <c r="B41" s="20" t="s">
        <v>171</v>
      </c>
      <c r="C41" s="17">
        <f t="shared" si="0"/>
        <v>4122.4920000000002</v>
      </c>
      <c r="D41" s="17">
        <f t="shared" si="1"/>
        <v>4122.4920000000002</v>
      </c>
      <c r="E41" s="31"/>
      <c r="F41" s="21">
        <v>4122.4920000000002</v>
      </c>
    </row>
    <row r="42" spans="1:6" s="22" customFormat="1" ht="13.8" x14ac:dyDescent="0.25">
      <c r="A42" s="46" t="s">
        <v>159</v>
      </c>
      <c r="B42" s="20" t="s">
        <v>172</v>
      </c>
      <c r="C42" s="17">
        <f t="shared" si="0"/>
        <v>3710.9609999999998</v>
      </c>
      <c r="D42" s="17">
        <f t="shared" si="1"/>
        <v>3710.9609999999998</v>
      </c>
      <c r="E42" s="31"/>
      <c r="F42" s="21">
        <v>3710.9609999999998</v>
      </c>
    </row>
    <row r="43" spans="1:6" s="19" customFormat="1" ht="13.8" x14ac:dyDescent="0.25">
      <c r="A43" s="45">
        <v>2</v>
      </c>
      <c r="B43" s="8" t="s">
        <v>167</v>
      </c>
      <c r="C43" s="17">
        <f t="shared" si="0"/>
        <v>0</v>
      </c>
      <c r="D43" s="17">
        <f t="shared" si="1"/>
        <v>0</v>
      </c>
      <c r="E43" s="9">
        <f>SUM(E44:E45)</f>
        <v>0</v>
      </c>
      <c r="F43" s="9"/>
    </row>
    <row r="44" spans="1:6" s="22" customFormat="1" ht="13.8" x14ac:dyDescent="0.25">
      <c r="A44" s="46" t="s">
        <v>177</v>
      </c>
      <c r="B44" s="20" t="s">
        <v>171</v>
      </c>
      <c r="C44" s="17">
        <f t="shared" si="0"/>
        <v>0</v>
      </c>
      <c r="D44" s="17">
        <f t="shared" si="1"/>
        <v>0</v>
      </c>
      <c r="E44" s="31"/>
      <c r="F44" s="31"/>
    </row>
    <row r="45" spans="1:6" s="22" customFormat="1" ht="13.8" x14ac:dyDescent="0.25">
      <c r="A45" s="46" t="s">
        <v>178</v>
      </c>
      <c r="B45" s="20" t="s">
        <v>172</v>
      </c>
      <c r="C45" s="17">
        <f t="shared" si="0"/>
        <v>0</v>
      </c>
      <c r="D45" s="17">
        <f t="shared" si="1"/>
        <v>0</v>
      </c>
      <c r="E45" s="31"/>
      <c r="F45" s="31"/>
    </row>
    <row r="46" spans="1:6" s="19" customFormat="1" ht="13.8" x14ac:dyDescent="0.25">
      <c r="A46" s="45">
        <v>3</v>
      </c>
      <c r="B46" s="8" t="s">
        <v>193</v>
      </c>
      <c r="C46" s="17">
        <f t="shared" si="0"/>
        <v>0</v>
      </c>
      <c r="D46" s="17">
        <f t="shared" si="1"/>
        <v>0</v>
      </c>
      <c r="E46" s="9"/>
      <c r="F46" s="37">
        <f>F48</f>
        <v>0</v>
      </c>
    </row>
    <row r="47" spans="1:6" s="22" customFormat="1" ht="13.8" x14ac:dyDescent="0.25">
      <c r="A47" s="46" t="s">
        <v>177</v>
      </c>
      <c r="B47" s="20" t="s">
        <v>171</v>
      </c>
      <c r="C47" s="17">
        <f t="shared" si="0"/>
        <v>0</v>
      </c>
      <c r="D47" s="17">
        <f t="shared" si="1"/>
        <v>0</v>
      </c>
      <c r="E47" s="31"/>
      <c r="F47" s="31"/>
    </row>
    <row r="48" spans="1:6" s="22" customFormat="1" ht="13.8" x14ac:dyDescent="0.25">
      <c r="A48" s="46" t="s">
        <v>178</v>
      </c>
      <c r="B48" s="20" t="s">
        <v>172</v>
      </c>
      <c r="C48" s="17">
        <f t="shared" si="0"/>
        <v>0</v>
      </c>
      <c r="D48" s="17">
        <f t="shared" si="1"/>
        <v>0</v>
      </c>
      <c r="E48" s="31"/>
      <c r="F48" s="35"/>
    </row>
    <row r="49" spans="4:5" s="1" customFormat="1" ht="15.6" x14ac:dyDescent="0.3">
      <c r="D49" s="5"/>
      <c r="E49" s="5"/>
    </row>
    <row r="50" spans="4:5" s="1" customFormat="1" ht="15.6" x14ac:dyDescent="0.3"/>
  </sheetData>
  <mergeCells count="3">
    <mergeCell ref="A3:D3"/>
    <mergeCell ref="A4:F4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F43" sqref="F43"/>
    </sheetView>
  </sheetViews>
  <sheetFormatPr defaultColWidth="9.109375" defaultRowHeight="18" x14ac:dyDescent="0.35"/>
  <cols>
    <col min="1" max="1" width="5.6640625" style="2" customWidth="1"/>
    <col min="2" max="2" width="38.33203125" style="2" customWidth="1"/>
    <col min="3" max="3" width="12.109375" style="2" customWidth="1"/>
    <col min="4" max="4" width="12" style="2" customWidth="1"/>
    <col min="5" max="5" width="10" style="2" customWidth="1"/>
    <col min="6" max="6" width="11.6640625" style="2" customWidth="1"/>
    <col min="7" max="16384" width="9.109375" style="2"/>
  </cols>
  <sheetData>
    <row r="1" spans="1:6" x14ac:dyDescent="0.35">
      <c r="A1" s="51" t="s">
        <v>0</v>
      </c>
    </row>
    <row r="2" spans="1:6" x14ac:dyDescent="0.35">
      <c r="A2" s="51" t="s">
        <v>1</v>
      </c>
    </row>
    <row r="3" spans="1:6" ht="13.5" customHeight="1" x14ac:dyDescent="0.35">
      <c r="A3" s="58"/>
      <c r="B3" s="58"/>
      <c r="C3" s="58"/>
      <c r="D3" s="58"/>
      <c r="E3" s="54"/>
    </row>
    <row r="4" spans="1:6" x14ac:dyDescent="0.35">
      <c r="A4" s="58" t="s">
        <v>208</v>
      </c>
      <c r="B4" s="58"/>
      <c r="C4" s="58"/>
      <c r="D4" s="58"/>
      <c r="E4" s="58"/>
      <c r="F4" s="58"/>
    </row>
    <row r="5" spans="1:6" x14ac:dyDescent="0.35">
      <c r="A5" s="60" t="s">
        <v>209</v>
      </c>
      <c r="B5" s="60"/>
      <c r="C5" s="60"/>
      <c r="D5" s="60"/>
      <c r="E5" s="60"/>
      <c r="F5" s="60"/>
    </row>
    <row r="6" spans="1:6" ht="11.25" customHeight="1" x14ac:dyDescent="0.35">
      <c r="A6" s="56"/>
      <c r="B6" s="56"/>
      <c r="C6" s="56"/>
      <c r="D6" s="56"/>
      <c r="E6" s="56"/>
      <c r="F6" s="56"/>
    </row>
    <row r="7" spans="1:6" x14ac:dyDescent="0.35">
      <c r="D7" s="1"/>
      <c r="E7" s="1" t="s">
        <v>150</v>
      </c>
    </row>
    <row r="8" spans="1:6" s="4" customFormat="1" ht="64.5" customHeight="1" x14ac:dyDescent="0.3">
      <c r="A8" s="55" t="s">
        <v>2</v>
      </c>
      <c r="B8" s="55" t="s">
        <v>30</v>
      </c>
      <c r="C8" s="55" t="s">
        <v>192</v>
      </c>
      <c r="D8" s="55" t="s">
        <v>183</v>
      </c>
      <c r="E8" s="55" t="s">
        <v>184</v>
      </c>
      <c r="F8" s="55" t="s">
        <v>186</v>
      </c>
    </row>
    <row r="9" spans="1:6" s="34" customFormat="1" ht="27.6" x14ac:dyDescent="0.3">
      <c r="A9" s="55" t="s">
        <v>8</v>
      </c>
      <c r="B9" s="32" t="s">
        <v>194</v>
      </c>
      <c r="C9" s="32"/>
      <c r="D9" s="32"/>
      <c r="E9" s="32"/>
      <c r="F9" s="32"/>
    </row>
    <row r="10" spans="1:6" s="19" customFormat="1" ht="13.8" x14ac:dyDescent="0.25">
      <c r="A10" s="45" t="s">
        <v>3</v>
      </c>
      <c r="B10" s="8" t="s">
        <v>157</v>
      </c>
      <c r="C10" s="17">
        <f>F10</f>
        <v>2759.538</v>
      </c>
      <c r="D10" s="17">
        <f>C10</f>
        <v>2759.538</v>
      </c>
      <c r="E10" s="9">
        <f>E11+E14</f>
        <v>0</v>
      </c>
      <c r="F10" s="17">
        <f>F11+F14</f>
        <v>2759.538</v>
      </c>
    </row>
    <row r="11" spans="1:6" s="19" customFormat="1" ht="13.8" x14ac:dyDescent="0.25">
      <c r="A11" s="45">
        <v>1</v>
      </c>
      <c r="B11" s="8" t="s">
        <v>160</v>
      </c>
      <c r="C11" s="17">
        <f t="shared" ref="C11:C48" si="0">F11</f>
        <v>1.5</v>
      </c>
      <c r="D11" s="17">
        <f>C11</f>
        <v>1.5</v>
      </c>
      <c r="E11" s="9"/>
      <c r="F11" s="17">
        <f>SUM(F12:F13)</f>
        <v>1.5</v>
      </c>
    </row>
    <row r="12" spans="1:6" s="22" customFormat="1" ht="13.8" x14ac:dyDescent="0.25">
      <c r="A12" s="46" t="s">
        <v>158</v>
      </c>
      <c r="B12" s="30" t="s">
        <v>164</v>
      </c>
      <c r="C12" s="17">
        <f t="shared" si="0"/>
        <v>1.1000000000000001</v>
      </c>
      <c r="D12" s="17">
        <f t="shared" ref="D12:D48" si="1">C12</f>
        <v>1.1000000000000001</v>
      </c>
      <c r="E12" s="31"/>
      <c r="F12" s="36">
        <v>1.1000000000000001</v>
      </c>
    </row>
    <row r="13" spans="1:6" s="22" customFormat="1" ht="13.8" x14ac:dyDescent="0.25">
      <c r="A13" s="46" t="s">
        <v>159</v>
      </c>
      <c r="B13" s="30" t="s">
        <v>196</v>
      </c>
      <c r="C13" s="17">
        <f t="shared" si="0"/>
        <v>0.4</v>
      </c>
      <c r="D13" s="17">
        <f t="shared" si="1"/>
        <v>0.4</v>
      </c>
      <c r="E13" s="31"/>
      <c r="F13" s="36">
        <v>0.4</v>
      </c>
    </row>
    <row r="14" spans="1:6" s="19" customFormat="1" ht="13.8" x14ac:dyDescent="0.25">
      <c r="A14" s="45">
        <v>2</v>
      </c>
      <c r="B14" s="8" t="s">
        <v>176</v>
      </c>
      <c r="C14" s="17">
        <f t="shared" si="0"/>
        <v>2758.038</v>
      </c>
      <c r="D14" s="17">
        <f t="shared" si="1"/>
        <v>2758.038</v>
      </c>
      <c r="E14" s="9">
        <f>SUM(E15:E16)</f>
        <v>0</v>
      </c>
      <c r="F14" s="17">
        <f>SUM(F15:F20)</f>
        <v>2758.038</v>
      </c>
    </row>
    <row r="15" spans="1:6" s="22" customFormat="1" ht="13.8" x14ac:dyDescent="0.25">
      <c r="A15" s="46" t="s">
        <v>177</v>
      </c>
      <c r="B15" s="30" t="s">
        <v>162</v>
      </c>
      <c r="C15" s="17">
        <f t="shared" si="0"/>
        <v>2718.5</v>
      </c>
      <c r="D15" s="17">
        <f t="shared" si="1"/>
        <v>2718.5</v>
      </c>
      <c r="E15" s="31"/>
      <c r="F15" s="21">
        <v>2718.5</v>
      </c>
    </row>
    <row r="16" spans="1:6" s="43" customFormat="1" ht="13.8" x14ac:dyDescent="0.25">
      <c r="A16" s="46" t="s">
        <v>178</v>
      </c>
      <c r="B16" s="30" t="s">
        <v>197</v>
      </c>
      <c r="C16" s="17">
        <f t="shared" si="0"/>
        <v>0.36799999999999999</v>
      </c>
      <c r="D16" s="17">
        <f t="shared" si="1"/>
        <v>0.36799999999999999</v>
      </c>
      <c r="E16" s="41"/>
      <c r="F16" s="35">
        <v>0.36799999999999999</v>
      </c>
    </row>
    <row r="17" spans="1:6" s="43" customFormat="1" ht="27.6" x14ac:dyDescent="0.25">
      <c r="A17" s="47" t="s">
        <v>201</v>
      </c>
      <c r="B17" s="40" t="s">
        <v>198</v>
      </c>
      <c r="C17" s="17">
        <f t="shared" si="0"/>
        <v>7.5</v>
      </c>
      <c r="D17" s="17">
        <f t="shared" si="1"/>
        <v>7.5</v>
      </c>
      <c r="E17" s="41"/>
      <c r="F17" s="42">
        <v>7.5</v>
      </c>
    </row>
    <row r="18" spans="1:6" s="43" customFormat="1" ht="13.8" x14ac:dyDescent="0.25">
      <c r="A18" s="47" t="s">
        <v>202</v>
      </c>
      <c r="B18" s="40" t="s">
        <v>199</v>
      </c>
      <c r="C18" s="17">
        <f t="shared" si="0"/>
        <v>1.5</v>
      </c>
      <c r="D18" s="17">
        <f t="shared" si="1"/>
        <v>1.5</v>
      </c>
      <c r="E18" s="41"/>
      <c r="F18" s="42">
        <v>1.5</v>
      </c>
    </row>
    <row r="19" spans="1:6" s="22" customFormat="1" ht="13.8" x14ac:dyDescent="0.25">
      <c r="A19" s="47" t="s">
        <v>203</v>
      </c>
      <c r="B19" s="40" t="s">
        <v>200</v>
      </c>
      <c r="C19" s="17">
        <f t="shared" si="0"/>
        <v>0</v>
      </c>
      <c r="D19" s="17">
        <f t="shared" si="1"/>
        <v>0</v>
      </c>
      <c r="E19" s="31"/>
      <c r="F19" s="42"/>
    </row>
    <row r="20" spans="1:6" s="22" customFormat="1" ht="13.8" x14ac:dyDescent="0.25">
      <c r="A20" s="46" t="s">
        <v>204</v>
      </c>
      <c r="B20" s="30" t="s">
        <v>143</v>
      </c>
      <c r="C20" s="17">
        <f t="shared" si="0"/>
        <v>30.17</v>
      </c>
      <c r="D20" s="17">
        <f t="shared" si="1"/>
        <v>30.17</v>
      </c>
      <c r="E20" s="31"/>
      <c r="F20" s="21">
        <v>30.17</v>
      </c>
    </row>
    <row r="21" spans="1:6" s="34" customFormat="1" ht="27.75" customHeight="1" x14ac:dyDescent="0.25">
      <c r="A21" s="55" t="s">
        <v>6</v>
      </c>
      <c r="B21" s="32" t="s">
        <v>195</v>
      </c>
      <c r="C21" s="17">
        <f t="shared" si="0"/>
        <v>2427.2719870000001</v>
      </c>
      <c r="D21" s="17">
        <f t="shared" si="1"/>
        <v>2427.2719870000001</v>
      </c>
      <c r="E21" s="33">
        <f>E22+E25</f>
        <v>0</v>
      </c>
      <c r="F21" s="38">
        <f t="shared" ref="F21" si="2">F22+F25</f>
        <v>2427.2719870000001</v>
      </c>
    </row>
    <row r="22" spans="1:6" s="19" customFormat="1" ht="13.8" x14ac:dyDescent="0.25">
      <c r="A22" s="45" t="s">
        <v>177</v>
      </c>
      <c r="B22" s="8" t="s">
        <v>167</v>
      </c>
      <c r="C22" s="17">
        <f t="shared" si="0"/>
        <v>0</v>
      </c>
      <c r="D22" s="17">
        <f t="shared" si="1"/>
        <v>0</v>
      </c>
      <c r="E22" s="9">
        <f>E23+E24</f>
        <v>0</v>
      </c>
      <c r="F22" s="9">
        <f t="shared" ref="F22" si="3">F23+F24</f>
        <v>0</v>
      </c>
    </row>
    <row r="23" spans="1:6" s="22" customFormat="1" ht="13.8" x14ac:dyDescent="0.25">
      <c r="A23" s="46" t="s">
        <v>4</v>
      </c>
      <c r="B23" s="20" t="s">
        <v>168</v>
      </c>
      <c r="C23" s="17">
        <f t="shared" si="0"/>
        <v>0</v>
      </c>
      <c r="D23" s="17">
        <f t="shared" si="1"/>
        <v>0</v>
      </c>
      <c r="E23" s="31"/>
      <c r="F23" s="31"/>
    </row>
    <row r="24" spans="1:6" s="22" customFormat="1" ht="13.8" x14ac:dyDescent="0.25">
      <c r="A24" s="46" t="s">
        <v>5</v>
      </c>
      <c r="B24" s="20" t="s">
        <v>169</v>
      </c>
      <c r="C24" s="17">
        <f t="shared" si="0"/>
        <v>0</v>
      </c>
      <c r="D24" s="17">
        <f t="shared" si="1"/>
        <v>0</v>
      </c>
      <c r="E24" s="31"/>
      <c r="F24" s="31"/>
    </row>
    <row r="25" spans="1:6" s="19" customFormat="1" ht="13.8" x14ac:dyDescent="0.25">
      <c r="A25" s="45" t="s">
        <v>178</v>
      </c>
      <c r="B25" s="8" t="s">
        <v>170</v>
      </c>
      <c r="C25" s="17">
        <f t="shared" si="0"/>
        <v>2427.2719870000001</v>
      </c>
      <c r="D25" s="17">
        <f t="shared" si="1"/>
        <v>2427.2719870000001</v>
      </c>
      <c r="E25" s="9">
        <f>E26</f>
        <v>0</v>
      </c>
      <c r="F25" s="17">
        <f>F26+F27</f>
        <v>2427.2719870000001</v>
      </c>
    </row>
    <row r="26" spans="1:6" s="22" customFormat="1" ht="13.8" x14ac:dyDescent="0.25">
      <c r="A26" s="46" t="s">
        <v>4</v>
      </c>
      <c r="B26" s="20" t="s">
        <v>171</v>
      </c>
      <c r="C26" s="17">
        <f t="shared" si="0"/>
        <v>2427.2719870000001</v>
      </c>
      <c r="D26" s="17">
        <f t="shared" si="1"/>
        <v>2427.2719870000001</v>
      </c>
      <c r="E26" s="31"/>
      <c r="F26" s="21">
        <v>2427.2719870000001</v>
      </c>
    </row>
    <row r="27" spans="1:6" s="22" customFormat="1" ht="13.8" x14ac:dyDescent="0.25">
      <c r="A27" s="46" t="s">
        <v>5</v>
      </c>
      <c r="B27" s="20" t="s">
        <v>172</v>
      </c>
      <c r="C27" s="17">
        <f t="shared" si="0"/>
        <v>0</v>
      </c>
      <c r="D27" s="17">
        <f t="shared" si="1"/>
        <v>0</v>
      </c>
      <c r="E27" s="31"/>
      <c r="F27" s="31"/>
    </row>
    <row r="28" spans="1:6" s="19" customFormat="1" ht="13.8" x14ac:dyDescent="0.25">
      <c r="A28" s="45" t="s">
        <v>14</v>
      </c>
      <c r="B28" s="8" t="s">
        <v>174</v>
      </c>
      <c r="C28" s="17">
        <f t="shared" si="0"/>
        <v>410.35899999999998</v>
      </c>
      <c r="D28" s="17">
        <f t="shared" si="1"/>
        <v>410.35899999999998</v>
      </c>
      <c r="E28" s="9">
        <f>E29+E32</f>
        <v>0</v>
      </c>
      <c r="F28" s="17">
        <f>F29+F32</f>
        <v>410.35899999999998</v>
      </c>
    </row>
    <row r="29" spans="1:6" s="19" customFormat="1" ht="13.8" x14ac:dyDescent="0.25">
      <c r="A29" s="45">
        <v>1</v>
      </c>
      <c r="B29" s="8" t="s">
        <v>160</v>
      </c>
      <c r="C29" s="17">
        <f t="shared" si="0"/>
        <v>1.5</v>
      </c>
      <c r="D29" s="17">
        <f t="shared" si="1"/>
        <v>1.5</v>
      </c>
      <c r="E29" s="9">
        <f>SUM(E30:E30)</f>
        <v>0</v>
      </c>
      <c r="F29" s="17">
        <f>SUM(F30:F31)</f>
        <v>1.5</v>
      </c>
    </row>
    <row r="30" spans="1:6" s="22" customFormat="1" ht="13.8" x14ac:dyDescent="0.25">
      <c r="A30" s="46" t="s">
        <v>158</v>
      </c>
      <c r="B30" s="30" t="s">
        <v>164</v>
      </c>
      <c r="C30" s="17">
        <f t="shared" si="0"/>
        <v>1.1000000000000001</v>
      </c>
      <c r="D30" s="17">
        <f t="shared" si="1"/>
        <v>1.1000000000000001</v>
      </c>
      <c r="E30" s="31"/>
      <c r="F30" s="21">
        <f>F12</f>
        <v>1.1000000000000001</v>
      </c>
    </row>
    <row r="31" spans="1:6" s="22" customFormat="1" ht="13.8" x14ac:dyDescent="0.25">
      <c r="A31" s="46" t="s">
        <v>159</v>
      </c>
      <c r="B31" s="30" t="s">
        <v>196</v>
      </c>
      <c r="C31" s="17">
        <f t="shared" si="0"/>
        <v>0.4</v>
      </c>
      <c r="D31" s="17">
        <f t="shared" si="1"/>
        <v>0.4</v>
      </c>
      <c r="E31" s="31"/>
      <c r="F31" s="21">
        <f>F13</f>
        <v>0.4</v>
      </c>
    </row>
    <row r="32" spans="1:6" s="19" customFormat="1" ht="13.8" x14ac:dyDescent="0.25">
      <c r="A32" s="45">
        <v>2</v>
      </c>
      <c r="B32" s="8" t="s">
        <v>176</v>
      </c>
      <c r="C32" s="17">
        <f t="shared" si="0"/>
        <v>408.85899999999998</v>
      </c>
      <c r="D32" s="17">
        <f t="shared" si="1"/>
        <v>408.85899999999998</v>
      </c>
      <c r="E32" s="9">
        <f>SUM(E33:E37)</f>
        <v>0</v>
      </c>
      <c r="F32" s="17">
        <f>SUM(F33:F38)</f>
        <v>408.85899999999998</v>
      </c>
    </row>
    <row r="33" spans="1:6" s="22" customFormat="1" ht="13.8" x14ac:dyDescent="0.25">
      <c r="A33" s="46" t="s">
        <v>177</v>
      </c>
      <c r="B33" s="30" t="s">
        <v>162</v>
      </c>
      <c r="C33" s="17">
        <f t="shared" si="0"/>
        <v>407.77499999999998</v>
      </c>
      <c r="D33" s="17">
        <f t="shared" si="1"/>
        <v>407.77499999999998</v>
      </c>
      <c r="E33" s="31"/>
      <c r="F33" s="21">
        <f>F15*0.15</f>
        <v>407.77499999999998</v>
      </c>
    </row>
    <row r="34" spans="1:6" s="43" customFormat="1" ht="13.8" x14ac:dyDescent="0.25">
      <c r="A34" s="46" t="s">
        <v>178</v>
      </c>
      <c r="B34" s="30" t="s">
        <v>197</v>
      </c>
      <c r="C34" s="17">
        <f t="shared" si="0"/>
        <v>0.184</v>
      </c>
      <c r="D34" s="17">
        <f t="shared" si="1"/>
        <v>0.184</v>
      </c>
      <c r="E34" s="41"/>
      <c r="F34" s="44">
        <f>F16*0.5</f>
        <v>0.184</v>
      </c>
    </row>
    <row r="35" spans="1:6" s="43" customFormat="1" ht="27.6" x14ac:dyDescent="0.25">
      <c r="A35" s="47" t="s">
        <v>201</v>
      </c>
      <c r="B35" s="40" t="s">
        <v>198</v>
      </c>
      <c r="C35" s="17">
        <f t="shared" si="0"/>
        <v>0.75</v>
      </c>
      <c r="D35" s="17">
        <f t="shared" si="1"/>
        <v>0.75</v>
      </c>
      <c r="E35" s="41"/>
      <c r="F35" s="44">
        <f>F17*0.1</f>
        <v>0.75</v>
      </c>
    </row>
    <row r="36" spans="1:6" s="43" customFormat="1" ht="13.8" x14ac:dyDescent="0.25">
      <c r="A36" s="47" t="s">
        <v>202</v>
      </c>
      <c r="B36" s="40" t="s">
        <v>199</v>
      </c>
      <c r="C36" s="17">
        <f t="shared" si="0"/>
        <v>0.15000000000000002</v>
      </c>
      <c r="D36" s="17">
        <f t="shared" si="1"/>
        <v>0.15000000000000002</v>
      </c>
      <c r="E36" s="41"/>
      <c r="F36" s="44">
        <f>F18*0.1</f>
        <v>0.15000000000000002</v>
      </c>
    </row>
    <row r="37" spans="1:6" s="22" customFormat="1" ht="13.8" x14ac:dyDescent="0.25">
      <c r="A37" s="47" t="s">
        <v>203</v>
      </c>
      <c r="B37" s="40" t="s">
        <v>200</v>
      </c>
      <c r="C37" s="17">
        <f t="shared" si="0"/>
        <v>0</v>
      </c>
      <c r="D37" s="17">
        <f t="shared" si="1"/>
        <v>0</v>
      </c>
      <c r="E37" s="31"/>
      <c r="F37" s="21">
        <f>F19*0.5</f>
        <v>0</v>
      </c>
    </row>
    <row r="38" spans="1:6" s="22" customFormat="1" ht="13.8" x14ac:dyDescent="0.25">
      <c r="A38" s="46" t="s">
        <v>204</v>
      </c>
      <c r="B38" s="30" t="s">
        <v>143</v>
      </c>
      <c r="C38" s="17">
        <f t="shared" si="0"/>
        <v>0</v>
      </c>
      <c r="D38" s="17">
        <f t="shared" si="1"/>
        <v>0</v>
      </c>
      <c r="E38" s="31"/>
      <c r="F38" s="21"/>
    </row>
    <row r="39" spans="1:6" s="19" customFormat="1" ht="13.8" x14ac:dyDescent="0.25">
      <c r="A39" s="45" t="s">
        <v>25</v>
      </c>
      <c r="B39" s="8" t="s">
        <v>33</v>
      </c>
      <c r="C39" s="17">
        <f t="shared" si="0"/>
        <v>8705.3866710000002</v>
      </c>
      <c r="D39" s="17">
        <f t="shared" si="1"/>
        <v>8705.3866710000002</v>
      </c>
      <c r="E39" s="9">
        <f>E40+E46</f>
        <v>0</v>
      </c>
      <c r="F39" s="17">
        <f>F40+F43+F46</f>
        <v>8705.3866710000002</v>
      </c>
    </row>
    <row r="40" spans="1:6" s="19" customFormat="1" ht="13.8" x14ac:dyDescent="0.25">
      <c r="A40" s="45">
        <v>1</v>
      </c>
      <c r="B40" s="8" t="s">
        <v>170</v>
      </c>
      <c r="C40" s="17">
        <f t="shared" si="0"/>
        <v>8705.3866710000002</v>
      </c>
      <c r="D40" s="17">
        <f t="shared" si="1"/>
        <v>8705.3866710000002</v>
      </c>
      <c r="E40" s="9">
        <f>SUM(E41:E42)</f>
        <v>0</v>
      </c>
      <c r="F40" s="17">
        <f>F41+F42</f>
        <v>8705.3866710000002</v>
      </c>
    </row>
    <row r="41" spans="1:6" s="22" customFormat="1" ht="13.8" x14ac:dyDescent="0.25">
      <c r="A41" s="46" t="s">
        <v>158</v>
      </c>
      <c r="B41" s="20" t="s">
        <v>171</v>
      </c>
      <c r="C41" s="17">
        <f t="shared" si="0"/>
        <v>4600.193671</v>
      </c>
      <c r="D41" s="17">
        <f t="shared" si="1"/>
        <v>4600.193671</v>
      </c>
      <c r="E41" s="31"/>
      <c r="F41" s="21">
        <v>4600.193671</v>
      </c>
    </row>
    <row r="42" spans="1:6" s="22" customFormat="1" ht="13.8" x14ac:dyDescent="0.25">
      <c r="A42" s="46" t="s">
        <v>159</v>
      </c>
      <c r="B42" s="20" t="s">
        <v>172</v>
      </c>
      <c r="C42" s="17">
        <f t="shared" si="0"/>
        <v>4105.1930000000002</v>
      </c>
      <c r="D42" s="17">
        <f t="shared" si="1"/>
        <v>4105.1930000000002</v>
      </c>
      <c r="E42" s="31"/>
      <c r="F42" s="21">
        <v>4105.1930000000002</v>
      </c>
    </row>
    <row r="43" spans="1:6" s="19" customFormat="1" ht="13.8" x14ac:dyDescent="0.25">
      <c r="A43" s="45">
        <v>2</v>
      </c>
      <c r="B43" s="8" t="s">
        <v>167</v>
      </c>
      <c r="C43" s="17">
        <f t="shared" si="0"/>
        <v>0</v>
      </c>
      <c r="D43" s="17">
        <f t="shared" si="1"/>
        <v>0</v>
      </c>
      <c r="E43" s="9">
        <f>SUM(E44:E45)</f>
        <v>0</v>
      </c>
      <c r="F43" s="9"/>
    </row>
    <row r="44" spans="1:6" s="22" customFormat="1" ht="13.8" x14ac:dyDescent="0.25">
      <c r="A44" s="46" t="s">
        <v>177</v>
      </c>
      <c r="B44" s="20" t="s">
        <v>171</v>
      </c>
      <c r="C44" s="17">
        <f t="shared" si="0"/>
        <v>0</v>
      </c>
      <c r="D44" s="17">
        <f t="shared" si="1"/>
        <v>0</v>
      </c>
      <c r="E44" s="31"/>
      <c r="F44" s="31"/>
    </row>
    <row r="45" spans="1:6" s="22" customFormat="1" ht="13.8" x14ac:dyDescent="0.25">
      <c r="A45" s="46" t="s">
        <v>178</v>
      </c>
      <c r="B45" s="20" t="s">
        <v>172</v>
      </c>
      <c r="C45" s="17">
        <f t="shared" si="0"/>
        <v>0</v>
      </c>
      <c r="D45" s="17">
        <f t="shared" si="1"/>
        <v>0</v>
      </c>
      <c r="E45" s="31"/>
      <c r="F45" s="31"/>
    </row>
    <row r="46" spans="1:6" s="19" customFormat="1" ht="13.8" x14ac:dyDescent="0.25">
      <c r="A46" s="45">
        <v>3</v>
      </c>
      <c r="B46" s="8" t="s">
        <v>193</v>
      </c>
      <c r="C46" s="17">
        <f t="shared" si="0"/>
        <v>0</v>
      </c>
      <c r="D46" s="17">
        <f t="shared" si="1"/>
        <v>0</v>
      </c>
      <c r="E46" s="9"/>
      <c r="F46" s="37">
        <f>F48</f>
        <v>0</v>
      </c>
    </row>
    <row r="47" spans="1:6" s="22" customFormat="1" ht="13.8" x14ac:dyDescent="0.25">
      <c r="A47" s="46" t="s">
        <v>177</v>
      </c>
      <c r="B47" s="20" t="s">
        <v>171</v>
      </c>
      <c r="C47" s="17">
        <f t="shared" si="0"/>
        <v>0</v>
      </c>
      <c r="D47" s="17">
        <f t="shared" si="1"/>
        <v>0</v>
      </c>
      <c r="E47" s="31"/>
      <c r="F47" s="31"/>
    </row>
    <row r="48" spans="1:6" s="22" customFormat="1" ht="13.8" x14ac:dyDescent="0.25">
      <c r="A48" s="46" t="s">
        <v>178</v>
      </c>
      <c r="B48" s="20" t="s">
        <v>172</v>
      </c>
      <c r="C48" s="17">
        <f t="shared" si="0"/>
        <v>0</v>
      </c>
      <c r="D48" s="17">
        <f t="shared" si="1"/>
        <v>0</v>
      </c>
      <c r="E48" s="31"/>
      <c r="F48" s="35"/>
    </row>
    <row r="49" spans="4:5" s="1" customFormat="1" ht="15.6" x14ac:dyDescent="0.3">
      <c r="D49" s="5"/>
      <c r="E49" s="5"/>
    </row>
    <row r="50" spans="4:5" s="1" customFormat="1" ht="15.6" x14ac:dyDescent="0.3"/>
  </sheetData>
  <mergeCells count="3">
    <mergeCell ref="A3:D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Cong khai QT nam</vt:lpstr>
      <vt:lpstr>VPS</vt:lpstr>
      <vt:lpstr>VPS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2024-10-16T10:27:02Z</cp:lastPrinted>
  <dcterms:created xsi:type="dcterms:W3CDTF">2018-04-24T07:07:31Z</dcterms:created>
  <dcterms:modified xsi:type="dcterms:W3CDTF">2024-10-16T10:27:06Z</dcterms:modified>
</cp:coreProperties>
</file>